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tables/table2.xml" ContentType="application/vnd.openxmlformats-officedocument.spreadsheetml.table+xml"/>
  <Override PartName="/xl/drawings/drawing19.xml" ContentType="application/vnd.openxmlformats-officedocument.drawing+xml"/>
  <Override PartName="/xl/tables/table3.xml" ContentType="application/vnd.openxmlformats-officedocument.spreadsheetml.table+xml"/>
  <Override PartName="/xl/queryTables/queryTable25.xml" ContentType="application/vnd.openxmlformats-officedocument.spreadsheetml.queryTab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3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59.xml" ContentType="application/vnd.openxmlformats-officedocument.spreadsheetml.queryTable+xml"/>
  <Override PartName="/xl/tables/table4.xml" ContentType="application/vnd.openxmlformats-officedocument.spreadsheetml.table+xml"/>
  <Override PartName="/xl/queryTables/queryTable60.xml" ContentType="application/vnd.openxmlformats-officedocument.spreadsheetml.queryTable+xml"/>
  <Override PartName="/xl/drawings/drawing37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4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drawings/drawing46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1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2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3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r:id="rId16"/>
    <sheet name="ARNC" sheetId="76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OST" sheetId="78" state="hidden" r:id="rId24"/>
    <sheet name="CPN" sheetId="7" state="hidden" r:id="rId25"/>
    <sheet name="EW" sheetId="72" state="hidden" r:id="rId26"/>
    <sheet name="TJX" sheetId="79" state="hidden" r:id="rId27"/>
    <sheet name="NKE" sheetId="50" r:id="rId28"/>
    <sheet name="MOS" sheetId="58" state="hidden" r:id="rId29"/>
    <sheet name="VGK" sheetId="59" state="hidden" r:id="rId30"/>
    <sheet name="MU" sheetId="17" state="hidden" r:id="rId31"/>
    <sheet name="IP" sheetId="44" state="hidden" r:id="rId32"/>
    <sheet name="INTC" sheetId="13" state="hidden" r:id="rId33"/>
    <sheet name="HES" sheetId="10" state="hidden" r:id="rId34"/>
    <sheet name="UNP" sheetId="20" state="hidden" r:id="rId35"/>
    <sheet name="NCLH" sheetId="67" state="hidden" r:id="rId36"/>
    <sheet name="SPY" sheetId="47" state="hidden" r:id="rId37"/>
    <sheet name="SWKS" sheetId="41" state="hidden" r:id="rId38"/>
    <sheet name="CNI" sheetId="42" state="hidden" r:id="rId39"/>
    <sheet name="WFC" sheetId="45" state="hidden" r:id="rId40"/>
    <sheet name="AA" sheetId="3" r:id="rId41"/>
    <sheet name="CF" sheetId="61" state="hidden" r:id="rId42"/>
    <sheet name="TGT" sheetId="75" state="hidden" r:id="rId43"/>
    <sheet name="NWL" sheetId="46" state="hidden" r:id="rId44"/>
    <sheet name="KORS" sheetId="16" state="hidden" r:id="rId45"/>
    <sheet name="ALL" sheetId="22" state="hidden" r:id="rId46"/>
    <sheet name="NSC" sheetId="24" state="hidden" r:id="rId47"/>
    <sheet name="AVGO" sheetId="15" state="hidden" r:id="rId48"/>
    <sheet name="UAL" sheetId="52" state="hidden" r:id="rId49"/>
    <sheet name="CAH" sheetId="53" state="hidden" r:id="rId50"/>
    <sheet name="DAL" sheetId="49" r:id="rId51"/>
    <sheet name="TEVA" sheetId="74" state="hidden" r:id="rId52"/>
    <sheet name="DIS" sheetId="34" state="hidden" r:id="rId53"/>
    <sheet name="FTR" sheetId="40" state="hidden" r:id="rId54"/>
    <sheet name="GILD" sheetId="31" state="hidden" r:id="rId55"/>
    <sheet name="WWD" sheetId="28" state="hidden" r:id="rId56"/>
    <sheet name="GIS" sheetId="43" state="hidden" r:id="rId57"/>
    <sheet name="GM" sheetId="29" state="hidden" r:id="rId58"/>
    <sheet name="TMO" sheetId="48" state="hidden" r:id="rId59"/>
    <sheet name="TKR" sheetId="32" state="hidden" r:id="rId60"/>
    <sheet name="UTX" sheetId="30" state="hidden" r:id="rId61"/>
    <sheet name="UNH" sheetId="26" state="hidden" r:id="rId62"/>
  </sheets>
  <functionGroups builtInGroupCount="18"/>
  <definedNames>
    <definedName name="_xlnm._FilterDatabase" localSheetId="0" hidden="1">ACTIVE!$E$1:$M$26</definedName>
    <definedName name="hp?s_AA_Historical_Prices_1" localSheetId="40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5">ALL!$X$1:$AD$69</definedName>
    <definedName name="hp?s_AVGO" localSheetId="47">AVGO!$W$1:$AC$69</definedName>
    <definedName name="hp?s_AXP_Historical_Prices" localSheetId="7">AXP!$W$1:$AC$70</definedName>
    <definedName name="hp?s_BIIB" localSheetId="3">BIIB!$W$1:$AC$68</definedName>
    <definedName name="hp?s_CAH" localSheetId="49">CAH!$W$1:$AC$69</definedName>
    <definedName name="hp?s_cce" localSheetId="13">CCE!$W$1:$AC$68</definedName>
    <definedName name="hp?s_CNI" localSheetId="38">CNI!$W$1:$AC$69</definedName>
    <definedName name="hp?s_CPN_Historical_Prices" localSheetId="24">CPN!$W$1:$AC$68</definedName>
    <definedName name="hp?s_cvs" localSheetId="17">CVS!$W$1:$AC$69</definedName>
    <definedName name="hp?s_DAL" localSheetId="50">DAL!$W$1:$AC$69</definedName>
    <definedName name="hp?s_dg" localSheetId="8">DG!$W$1:$AC$68</definedName>
    <definedName name="hp?s_DIS" localSheetId="13">CCE!#REF!</definedName>
    <definedName name="hp?s_DIS" localSheetId="52">DIS!$W$1:$AC$68</definedName>
    <definedName name="hp?s_DIS" localSheetId="53">FTR!#REF!</definedName>
    <definedName name="hp?s_ew_Historical_Prices" localSheetId="25">EW!$W$1:$AC$68</definedName>
    <definedName name="hp?s_foxa" localSheetId="10">FOXA!$W$1:$AC$69</definedName>
    <definedName name="hp?s_GILD" localSheetId="54">GILD!$W$1:$AC$69</definedName>
    <definedName name="hp?s_GIS" localSheetId="56">GIS!$X$1:$AD$69</definedName>
    <definedName name="hp?s_GM" localSheetId="57">GM!$W$1:$AC$69</definedName>
    <definedName name="hp?s_HES" localSheetId="33">HES!$W$1:$AC$69</definedName>
    <definedName name="hp?s_INTC_Historical_Prices" localSheetId="32">INTC!$W$1:$AC$69</definedName>
    <definedName name="hp?s_IP" localSheetId="31">IP!$W$1:$AC$69</definedName>
    <definedName name="hp?s_jnj" localSheetId="21">JNJ!$W$1:$AC$69</definedName>
    <definedName name="hp?s_KORS" localSheetId="44">KORS!$W$1:$AC$68</definedName>
    <definedName name="hp?s_LUV" localSheetId="12">LUV!$W$1:$AC$69</definedName>
    <definedName name="hp?s_MOS_Historical_Prices" localSheetId="28">MOS!$W$1:$AC$69</definedName>
    <definedName name="hp?s_MYL" localSheetId="4">MYL!$W$1:$AC$68</definedName>
    <definedName name="hp?s_nclh" localSheetId="35">NCLH!$W$1:$AC$68</definedName>
    <definedName name="hp?s_nke" localSheetId="27">NKE!$W$1:$AC$69</definedName>
    <definedName name="hp?s_NSC" localSheetId="46">NSC!$W$1:$AC$69</definedName>
    <definedName name="hp?s_NWL" localSheetId="43">NWL!$W$1:$AC$69</definedName>
    <definedName name="hp?s_pinc" localSheetId="9">PINC!$W$1:$AC$68</definedName>
    <definedName name="hp?s_SPY_Historical_Prices" localSheetId="36">SPY!$W$1:$AC$69</definedName>
    <definedName name="hp?s_SWKS" localSheetId="37">SWKS!$W$1:$AC$69</definedName>
    <definedName name="hp?s_TKR" localSheetId="59">TKR!$W$1:$AC$69</definedName>
    <definedName name="hp?s_tmo" localSheetId="58">TMO!$W$1:$AC$69</definedName>
    <definedName name="hp?s_ual" localSheetId="48">UAL!$W$1:$AC$68</definedName>
    <definedName name="hp?s_UNH" localSheetId="61">UNH!$W$1:$AC$69</definedName>
    <definedName name="hp?s_UNP" localSheetId="34">UNP!$W$1:$AC$69</definedName>
    <definedName name="hp?s_UTX" localSheetId="60">UTX!$W$1:$AC$69</definedName>
    <definedName name="hp?s_vgk" localSheetId="29">VGK!$W$1:$AC$69</definedName>
    <definedName name="hp?s_WFC" localSheetId="39">WFC!$W$1:$AC$69</definedName>
    <definedName name="hp?s_WWD" localSheetId="55">WWD!$W$1:$AC$69</definedName>
    <definedName name="PL" localSheetId="40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9">#REF!</definedName>
    <definedName name="PL" localSheetId="41">#REF!</definedName>
    <definedName name="PL" localSheetId="23">#REF!</definedName>
    <definedName name="PL" localSheetId="17">#REF!</definedName>
    <definedName name="PL" localSheetId="8">#REF!</definedName>
    <definedName name="PL" localSheetId="25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8">#REF!</definedName>
    <definedName name="PL" localSheetId="4">#REF!</definedName>
    <definedName name="PL" localSheetId="35">NCLH!$Q$7</definedName>
    <definedName name="PL" localSheetId="27">#REF!</definedName>
    <definedName name="PL" localSheetId="9">PINC!$Q$7</definedName>
    <definedName name="PL" localSheetId="36">SPY!$Q$7</definedName>
    <definedName name="PL" localSheetId="37">SWKS!$Q$7</definedName>
    <definedName name="PL" localSheetId="42">#REF!</definedName>
    <definedName name="PL" localSheetId="26">#REF!</definedName>
    <definedName name="PL" localSheetId="48">#REF!</definedName>
    <definedName name="PL" localSheetId="29">#REF!</definedName>
    <definedName name="PL" localSheetId="39">WFC!$Q$7</definedName>
    <definedName name="q?s_aa_ql_1" localSheetId="40">AA!$T$40:$U$55</definedName>
    <definedName name="q?s_AAPL" localSheetId="6">AAPL!$T$40:$U$55</definedName>
    <definedName name="q?s_AKAM" localSheetId="15">AKAM!$T$43:$U$58</definedName>
    <definedName name="q?s_ALL" localSheetId="45">ALL!$T$40:$U$55</definedName>
    <definedName name="q?s_AVGO" localSheetId="47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9">CAH!$T$43:$U$58</definedName>
    <definedName name="q?s_cce" localSheetId="13">CCE!$T$43:$U$58</definedName>
    <definedName name="q?s_CF" localSheetId="41">CF!$T$56:$U$71</definedName>
    <definedName name="q?s_CNI" localSheetId="38">CNI!$T$43:$U$58</definedName>
    <definedName name="q?s_CPN" localSheetId="24">CPN!$T$43:$U$58</definedName>
    <definedName name="q?s_cvs" localSheetId="17">CVS!$T$43:$U$58</definedName>
    <definedName name="q?s_DAL" localSheetId="50">DAL!$T$43:$U$58</definedName>
    <definedName name="q?s_dg" localSheetId="8">DG!$T$43:$U$58</definedName>
    <definedName name="q?s_DIS" localSheetId="52">DIS!$T$43:$U$58</definedName>
    <definedName name="q?s_ew" localSheetId="25">EW!$T$43:$U$58</definedName>
    <definedName name="q?s_F" localSheetId="20">F!$T$43:$U$58</definedName>
    <definedName name="q?s_foxa" localSheetId="10">FOXA!$T$43:$U$58</definedName>
    <definedName name="q?s_FTR" localSheetId="53">FTR!$T$43:$U$58</definedName>
    <definedName name="q?s_GILD" localSheetId="54">GILD!$T$43:$U$58</definedName>
    <definedName name="q?s_GIS_1" localSheetId="56">GIS!$T$43:$U$58</definedName>
    <definedName name="q?s_GM" localSheetId="57">GM!$T$43:$U$58</definedName>
    <definedName name="q?s_HES" localSheetId="33">HES!$T$43:$U$58</definedName>
    <definedName name="q?s_INTC" localSheetId="32">INTC!$T$43:$U$58</definedName>
    <definedName name="q?s_IP" localSheetId="31">IP!$T$43:$U$58</definedName>
    <definedName name="q?s_JNJ" localSheetId="21">JNJ!$T$43:$U$58</definedName>
    <definedName name="q?s_KORS" localSheetId="44">KORS!$T$43:$U$58</definedName>
    <definedName name="q?s_KR" localSheetId="19">KR!$T$43:$U$58</definedName>
    <definedName name="q?s_luv_ql_1" localSheetId="12">LUV!$T$43:$U$58</definedName>
    <definedName name="q?s_MOS" localSheetId="28">MOS!$T$43:$U$58</definedName>
    <definedName name="q?s_MU" localSheetId="30">MU!#REF!</definedName>
    <definedName name="q?s_MYL" localSheetId="4">MYL!$T$43:$U$58</definedName>
    <definedName name="q?s_nclh" localSheetId="35">NCLH!$T$40:$U$55</definedName>
    <definedName name="q?s_NKE" localSheetId="27">NKE!$T$43:$U$58</definedName>
    <definedName name="q?s_nsc" localSheetId="46">NSC!$T$43:$U$58</definedName>
    <definedName name="q?s_NSC" localSheetId="34">UNP!$T$43:$U$58</definedName>
    <definedName name="q?s_NWL" localSheetId="43">NWL!$T$43:$U$58</definedName>
    <definedName name="q?s_pinc" localSheetId="9">PINC!$T$40:$U$55</definedName>
    <definedName name="q?s_SIG" localSheetId="5">SIG!#REF!</definedName>
    <definedName name="q?s_SPY" localSheetId="36">SPY!$T$40:$U$53</definedName>
    <definedName name="q?s_SWKS" localSheetId="37">SWKS!$T$40:$U$55</definedName>
    <definedName name="q?s_teva" localSheetId="51">TEVA!$T$43:$U$58</definedName>
    <definedName name="q?s_tgt" localSheetId="42">TGT!$T$43:$U$58</definedName>
    <definedName name="q?s_TKR" localSheetId="59">TKR!$T$43:$U$58</definedName>
    <definedName name="q?s_tmo" localSheetId="58">TMO!$T$43:$U$58</definedName>
    <definedName name="q?s_UAL" localSheetId="48">UAL!$T$43:$U$58</definedName>
    <definedName name="q?s_UNH" localSheetId="61">UNH!$T$43:$U$58</definedName>
    <definedName name="q?s_UTX" localSheetId="60">UTX!$T$43:$U$58</definedName>
    <definedName name="q?s_vgk" localSheetId="29">VGK!$T$43:$U$56</definedName>
    <definedName name="q?s_WFC" localSheetId="39">WFC!$T$43:$U$58</definedName>
    <definedName name="q?s_WWD" localSheetId="5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6" i="35" l="1"/>
  <c r="N58" i="35"/>
  <c r="N53" i="35"/>
  <c r="N54" i="35"/>
  <c r="N38" i="35"/>
  <c r="N11" i="35"/>
  <c r="N60" i="35"/>
  <c r="N7" i="35"/>
  <c r="N12" i="35"/>
  <c r="N34" i="35"/>
  <c r="N16" i="35"/>
  <c r="N33" i="35"/>
  <c r="N29" i="35"/>
  <c r="N55" i="35"/>
  <c r="N25" i="35"/>
  <c r="N48" i="35"/>
  <c r="N22" i="35"/>
  <c r="N43" i="35"/>
  <c r="N49" i="35"/>
  <c r="N13" i="35"/>
  <c r="N14" i="35"/>
  <c r="N20" i="35"/>
  <c r="N9" i="35"/>
  <c r="N31" i="35"/>
  <c r="N52" i="35"/>
  <c r="N51" i="35"/>
  <c r="N46" i="35"/>
  <c r="N57" i="35"/>
  <c r="N39" i="35"/>
  <c r="N40" i="35"/>
  <c r="N41" i="35"/>
  <c r="N10" i="35"/>
  <c r="N59" i="35"/>
  <c r="N6" i="35"/>
  <c r="N47" i="35"/>
  <c r="N18" i="35"/>
  <c r="N35" i="35"/>
  <c r="N4" i="35"/>
  <c r="N17" i="35"/>
  <c r="N8" i="35"/>
  <c r="N42" i="35"/>
  <c r="N36" i="35"/>
  <c r="N3" i="35"/>
  <c r="N2" i="35"/>
  <c r="N32" i="35"/>
  <c r="N24" i="35"/>
  <c r="N19" i="35"/>
  <c r="N28" i="35"/>
  <c r="N30" i="35"/>
  <c r="N44" i="35"/>
  <c r="N23" i="35"/>
  <c r="N37" i="35"/>
  <c r="N50" i="35"/>
  <c r="N15" i="35"/>
  <c r="N26" i="35"/>
  <c r="N21" i="35"/>
  <c r="N5" i="35"/>
  <c r="N45" i="35"/>
  <c r="N27" i="35"/>
  <c r="F68" i="17"/>
  <c r="G68" i="17"/>
  <c r="L68" i="17" s="1"/>
  <c r="H68" i="17"/>
  <c r="K3" i="17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Q2" i="79" s="1"/>
  <c r="C18" i="79"/>
  <c r="F2" i="79"/>
  <c r="F18" i="79" s="1"/>
  <c r="F28" i="77"/>
  <c r="G28" i="77"/>
  <c r="H28" i="77"/>
  <c r="F5" i="77"/>
  <c r="F76" i="40"/>
  <c r="G76" i="40"/>
  <c r="H76" i="40"/>
  <c r="F20" i="40"/>
  <c r="D20" i="40"/>
  <c r="C20" i="40"/>
  <c r="F55" i="51"/>
  <c r="G55" i="51"/>
  <c r="H55" i="51"/>
  <c r="F17" i="51"/>
  <c r="D463" i="38"/>
  <c r="E463" i="38"/>
  <c r="G463" i="38"/>
  <c r="H463" i="38"/>
  <c r="K463" i="38"/>
  <c r="L463" i="38"/>
  <c r="O463" i="38" s="1"/>
  <c r="P463" i="38" s="1"/>
  <c r="M463" i="38"/>
  <c r="N463" i="38"/>
  <c r="R463" i="38"/>
  <c r="U463" i="38"/>
  <c r="V463" i="38"/>
  <c r="F65" i="79"/>
  <c r="C65" i="79"/>
  <c r="C19" i="79"/>
  <c r="H65" i="79"/>
  <c r="M19" i="79"/>
  <c r="K19" i="79"/>
  <c r="M65" i="79"/>
  <c r="H19" i="79"/>
  <c r="K65" i="79"/>
  <c r="F19" i="79"/>
  <c r="M46" i="79" l="1"/>
  <c r="Q10" i="79" s="1"/>
  <c r="Q8" i="79"/>
  <c r="Q7" i="79" s="1"/>
  <c r="Q5" i="79"/>
  <c r="Q3" i="79"/>
  <c r="Q6" i="79" s="1"/>
  <c r="W463" i="38"/>
  <c r="F14" i="57"/>
  <c r="F15" i="57"/>
  <c r="F16" i="57"/>
  <c r="F17" i="57"/>
  <c r="Q9" i="79" l="1"/>
  <c r="D462" i="38"/>
  <c r="E462" i="38"/>
  <c r="G462" i="38"/>
  <c r="H462" i="38"/>
  <c r="K462" i="38"/>
  <c r="L462" i="38" s="1"/>
  <c r="M462" i="38"/>
  <c r="N462" i="38" s="1"/>
  <c r="R462" i="38"/>
  <c r="T462" i="38"/>
  <c r="U462" i="38"/>
  <c r="L67" i="17"/>
  <c r="F67" i="17"/>
  <c r="H67" i="17"/>
  <c r="G67" i="17"/>
  <c r="F8" i="17"/>
  <c r="F29" i="74"/>
  <c r="H29" i="74"/>
  <c r="G29" i="74"/>
  <c r="F6" i="74"/>
  <c r="F49" i="61"/>
  <c r="G49" i="61"/>
  <c r="H49" i="61"/>
  <c r="F13" i="61"/>
  <c r="F66" i="57"/>
  <c r="G66" i="57"/>
  <c r="H66" i="57"/>
  <c r="C35" i="57"/>
  <c r="V462" i="38" l="1"/>
  <c r="W462" i="38" s="1"/>
  <c r="O462" i="38"/>
  <c r="P462" i="38" s="1"/>
  <c r="T461" i="38"/>
  <c r="D461" i="38"/>
  <c r="E461" i="38"/>
  <c r="G461" i="38"/>
  <c r="H461" i="38"/>
  <c r="K461" i="38"/>
  <c r="L461" i="38" s="1"/>
  <c r="M461" i="38"/>
  <c r="N461" i="38"/>
  <c r="R461" i="38"/>
  <c r="U461" i="38"/>
  <c r="F42" i="75"/>
  <c r="G42" i="75"/>
  <c r="H42" i="75"/>
  <c r="F8" i="75"/>
  <c r="O461" i="38" l="1"/>
  <c r="P461" i="38" s="1"/>
  <c r="V461" i="38"/>
  <c r="W461" i="38" s="1"/>
  <c r="D460" i="38"/>
  <c r="E460" i="38"/>
  <c r="G460" i="38"/>
  <c r="H460" i="38"/>
  <c r="K460" i="38"/>
  <c r="L460" i="38" s="1"/>
  <c r="M460" i="38"/>
  <c r="T460" i="38" s="1"/>
  <c r="N460" i="38"/>
  <c r="R460" i="38"/>
  <c r="U460" i="38"/>
  <c r="F41" i="75"/>
  <c r="G41" i="75"/>
  <c r="H41" i="75"/>
  <c r="K3" i="75"/>
  <c r="L66" i="17"/>
  <c r="G30" i="17"/>
  <c r="L60" i="17"/>
  <c r="L63" i="17"/>
  <c r="F66" i="17"/>
  <c r="G66" i="17"/>
  <c r="H66" i="17"/>
  <c r="F3" i="17"/>
  <c r="K2" i="17"/>
  <c r="O460" i="38" l="1"/>
  <c r="P460" i="38" s="1"/>
  <c r="V460" i="38"/>
  <c r="W460" i="38" s="1"/>
  <c r="D459" i="38"/>
  <c r="E459" i="38"/>
  <c r="G459" i="38"/>
  <c r="H459" i="38"/>
  <c r="K459" i="38"/>
  <c r="L459" i="38" s="1"/>
  <c r="M459" i="38"/>
  <c r="T459" i="38" s="1"/>
  <c r="N459" i="38"/>
  <c r="R459" i="38"/>
  <c r="U459" i="38"/>
  <c r="O459" i="38" l="1"/>
  <c r="P459" i="38" s="1"/>
  <c r="V459" i="38"/>
  <c r="W459" i="38" s="1"/>
  <c r="F135" i="31"/>
  <c r="G135" i="31"/>
  <c r="H135" i="31"/>
  <c r="F89" i="25"/>
  <c r="G89" i="25"/>
  <c r="H89" i="25"/>
  <c r="D458" i="38" l="1"/>
  <c r="E458" i="38"/>
  <c r="G458" i="38"/>
  <c r="H458" i="38"/>
  <c r="K458" i="38"/>
  <c r="L458" i="38"/>
  <c r="O458" i="38" s="1"/>
  <c r="P458" i="38" s="1"/>
  <c r="M458" i="38"/>
  <c r="T458" i="38" s="1"/>
  <c r="R458" i="38"/>
  <c r="U458" i="38"/>
  <c r="F48" i="61"/>
  <c r="G48" i="61"/>
  <c r="H48" i="61"/>
  <c r="K9" i="61"/>
  <c r="F7" i="45"/>
  <c r="V458" i="38" l="1"/>
  <c r="N458" i="38"/>
  <c r="D457" i="38"/>
  <c r="E457" i="38"/>
  <c r="G457" i="38"/>
  <c r="H457" i="38"/>
  <c r="K457" i="38"/>
  <c r="L457" i="38"/>
  <c r="O457" i="38" s="1"/>
  <c r="M457" i="38"/>
  <c r="T457" i="38" s="1"/>
  <c r="R457" i="38"/>
  <c r="F65" i="17"/>
  <c r="G65" i="17"/>
  <c r="L65" i="17" s="1"/>
  <c r="H65" i="17"/>
  <c r="F7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W458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C18" i="58"/>
  <c r="F11" i="58"/>
  <c r="D455" i="38" l="1"/>
  <c r="E455" i="38"/>
  <c r="G455" i="38"/>
  <c r="H455" i="38"/>
  <c r="K455" i="38"/>
  <c r="L455" i="38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6" i="17"/>
  <c r="D454" i="38" l="1"/>
  <c r="E454" i="38"/>
  <c r="G454" i="38"/>
  <c r="H454" i="38"/>
  <c r="K454" i="38"/>
  <c r="L454" i="38" s="1"/>
  <c r="O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H63" i="17"/>
  <c r="F5" i="17"/>
  <c r="F54" i="51"/>
  <c r="G54" i="51"/>
  <c r="H54" i="51"/>
  <c r="K4" i="51"/>
  <c r="F40" i="75" l="1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F2" i="63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O450" i="38" s="1"/>
  <c r="M450" i="38"/>
  <c r="N450" i="38" s="1"/>
  <c r="R450" i="38"/>
  <c r="F53" i="51" l="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27" i="17"/>
  <c r="K426" i="17"/>
  <c r="F426" i="17"/>
  <c r="K425" i="17"/>
  <c r="F425" i="17"/>
  <c r="K424" i="17"/>
  <c r="F424" i="17"/>
  <c r="K423" i="17"/>
  <c r="F423" i="17"/>
  <c r="K422" i="17"/>
  <c r="F422" i="17"/>
  <c r="K421" i="17"/>
  <c r="F421" i="17"/>
  <c r="K420" i="17"/>
  <c r="F420" i="17"/>
  <c r="M85" i="78"/>
  <c r="K85" i="78"/>
  <c r="C19" i="78"/>
  <c r="H19" i="78"/>
  <c r="F19" i="78"/>
  <c r="C85" i="78"/>
  <c r="K19" i="78"/>
  <c r="H85" i="78"/>
  <c r="M19" i="78"/>
  <c r="F85" i="78"/>
  <c r="Q2" i="78" l="1"/>
  <c r="M66" i="78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19" i="77"/>
  <c r="K19" i="77"/>
  <c r="C85" i="77"/>
  <c r="K85" i="77"/>
  <c r="M85" i="77"/>
  <c r="H19" i="77"/>
  <c r="F85" i="77"/>
  <c r="H85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F42" i="61"/>
  <c r="G42" i="61"/>
  <c r="H42" i="61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4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59" i="57"/>
  <c r="G59" i="57"/>
  <c r="H59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H77" i="69"/>
  <c r="C77" i="69"/>
  <c r="F77" i="69"/>
  <c r="M77" i="69"/>
  <c r="K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H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418" i="17"/>
  <c r="F41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16" i="17"/>
  <c r="K415" i="17"/>
  <c r="F415" i="17"/>
  <c r="K414" i="17"/>
  <c r="F414" i="17"/>
  <c r="K413" i="17"/>
  <c r="F413" i="17"/>
  <c r="K412" i="17"/>
  <c r="F412" i="17"/>
  <c r="K411" i="17"/>
  <c r="F411" i="17"/>
  <c r="F33" i="75"/>
  <c r="G33" i="75"/>
  <c r="H33" i="75"/>
  <c r="F57" i="57"/>
  <c r="G57" i="57"/>
  <c r="H57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56" i="57"/>
  <c r="G56" i="57"/>
  <c r="H56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C93" i="68"/>
  <c r="K93" i="68"/>
  <c r="F93" i="68"/>
  <c r="M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52" i="57"/>
  <c r="G52" i="57"/>
  <c r="H52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51" i="57"/>
  <c r="G51" i="57"/>
  <c r="H51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50" i="57"/>
  <c r="G50" i="57"/>
  <c r="H50" i="57"/>
  <c r="H124" i="31"/>
  <c r="G124" i="31"/>
  <c r="F124" i="31"/>
  <c r="F40" i="17"/>
  <c r="G40" i="17"/>
  <c r="H40" i="17"/>
  <c r="K409" i="17"/>
  <c r="F409" i="17"/>
  <c r="K408" i="17"/>
  <c r="F40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27" i="25"/>
  <c r="F627" i="25"/>
  <c r="C627" i="25"/>
  <c r="M627" i="25"/>
  <c r="K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G26" i="75"/>
  <c r="F26" i="75"/>
  <c r="G25" i="75"/>
  <c r="F25" i="75"/>
  <c r="H24" i="75"/>
  <c r="G24" i="75"/>
  <c r="F24" i="75"/>
  <c r="M18" i="75"/>
  <c r="K18" i="75"/>
  <c r="H18" i="75"/>
  <c r="C18" i="75"/>
  <c r="Q11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29" i="17"/>
  <c r="H429" i="17"/>
  <c r="C429" i="17"/>
  <c r="F407" i="17"/>
  <c r="K406" i="17"/>
  <c r="F406" i="17"/>
  <c r="K405" i="17"/>
  <c r="F405" i="17"/>
  <c r="K404" i="17"/>
  <c r="F404" i="17"/>
  <c r="K402" i="17"/>
  <c r="K401" i="17"/>
  <c r="K400" i="17"/>
  <c r="K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F359" i="17"/>
  <c r="K358" i="17"/>
  <c r="F358" i="17"/>
  <c r="K357" i="17"/>
  <c r="F357" i="17"/>
  <c r="K356" i="17"/>
  <c r="F356" i="17"/>
  <c r="K355" i="17"/>
  <c r="F355" i="17"/>
  <c r="K354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55" i="50"/>
  <c r="H77" i="70"/>
  <c r="H19" i="63"/>
  <c r="F19" i="64"/>
  <c r="M85" i="64"/>
  <c r="C19" i="63"/>
  <c r="M94" i="52"/>
  <c r="K94" i="52"/>
  <c r="H19" i="64"/>
  <c r="M19" i="73"/>
  <c r="M86" i="53"/>
  <c r="K19" i="52"/>
  <c r="C19" i="50"/>
  <c r="H100" i="34"/>
  <c r="H156" i="49"/>
  <c r="K19" i="63"/>
  <c r="C77" i="70"/>
  <c r="K72" i="59"/>
  <c r="C75" i="41"/>
  <c r="K30" i="49"/>
  <c r="F50" i="25"/>
  <c r="M19" i="45"/>
  <c r="H19" i="70"/>
  <c r="K32" i="31"/>
  <c r="H148" i="45"/>
  <c r="H111" i="54"/>
  <c r="M19" i="59"/>
  <c r="K50" i="25"/>
  <c r="K23" i="17"/>
  <c r="K24" i="40"/>
  <c r="F151" i="57"/>
  <c r="C151" i="57"/>
  <c r="M19" i="68"/>
  <c r="K19" i="60"/>
  <c r="M84" i="61"/>
  <c r="H19" i="45"/>
  <c r="C19" i="58"/>
  <c r="H19" i="69"/>
  <c r="F55" i="50"/>
  <c r="H19" i="58"/>
  <c r="C19" i="66"/>
  <c r="K19" i="61"/>
  <c r="H19" i="75"/>
  <c r="C19" i="60"/>
  <c r="M55" i="50"/>
  <c r="M67" i="60"/>
  <c r="F63" i="66"/>
  <c r="C32" i="31"/>
  <c r="K19" i="71"/>
  <c r="H19" i="41"/>
  <c r="F100" i="34"/>
  <c r="C90" i="72"/>
  <c r="K65" i="71"/>
  <c r="K77" i="70"/>
  <c r="C19" i="45"/>
  <c r="F19" i="75"/>
  <c r="F19" i="50"/>
  <c r="F72" i="59"/>
  <c r="M19" i="69"/>
  <c r="H19" i="68"/>
  <c r="M19" i="34"/>
  <c r="H19" i="34"/>
  <c r="F19" i="55"/>
  <c r="C19" i="61"/>
  <c r="H72" i="59"/>
  <c r="C19" i="71"/>
  <c r="F19" i="54"/>
  <c r="F67" i="60"/>
  <c r="C85" i="64"/>
  <c r="K65" i="63"/>
  <c r="M19" i="71"/>
  <c r="H19" i="53"/>
  <c r="K156" i="49"/>
  <c r="K148" i="45"/>
  <c r="H30" i="49"/>
  <c r="M19" i="50"/>
  <c r="M75" i="41"/>
  <c r="C19" i="72"/>
  <c r="K19" i="64"/>
  <c r="H19" i="71"/>
  <c r="C86" i="53"/>
  <c r="M19" i="70"/>
  <c r="K19" i="66"/>
  <c r="C65" i="63"/>
  <c r="M113" i="58"/>
  <c r="C113" i="58"/>
  <c r="F19" i="53"/>
  <c r="K19" i="70"/>
  <c r="M63" i="66"/>
  <c r="K119" i="7"/>
  <c r="F90" i="72"/>
  <c r="H50" i="25"/>
  <c r="H23" i="17"/>
  <c r="H24" i="40"/>
  <c r="K151" i="57"/>
  <c r="K36" i="57"/>
  <c r="C19" i="52"/>
  <c r="M19" i="41"/>
  <c r="F19" i="34"/>
  <c r="K113" i="58"/>
  <c r="F19" i="59"/>
  <c r="F85" i="64"/>
  <c r="C111" i="54"/>
  <c r="M30" i="49"/>
  <c r="F32" i="31"/>
  <c r="H19" i="61"/>
  <c r="M19" i="75"/>
  <c r="C63" i="66"/>
  <c r="M151" i="57"/>
  <c r="C50" i="25"/>
  <c r="C30" i="49"/>
  <c r="H94" i="52"/>
  <c r="K85" i="64"/>
  <c r="H86" i="53"/>
  <c r="C19" i="68"/>
  <c r="H19" i="52"/>
  <c r="M430" i="17"/>
  <c r="K19" i="50"/>
  <c r="F148" i="45"/>
  <c r="K19" i="69"/>
  <c r="C19" i="69"/>
  <c r="K19" i="73"/>
  <c r="K19" i="55"/>
  <c r="C19" i="53"/>
  <c r="M19" i="62"/>
  <c r="H19" i="73"/>
  <c r="H84" i="61"/>
  <c r="F19" i="66"/>
  <c r="H19" i="55"/>
  <c r="H19" i="66"/>
  <c r="H19" i="72"/>
  <c r="M19" i="60"/>
  <c r="C156" i="49"/>
  <c r="H32" i="31"/>
  <c r="F65" i="63"/>
  <c r="F77" i="70"/>
  <c r="K90" i="72"/>
  <c r="F19" i="69"/>
  <c r="C19" i="73"/>
  <c r="M65" i="71"/>
  <c r="H67" i="60"/>
  <c r="H19" i="60"/>
  <c r="C72" i="59"/>
  <c r="F19" i="71"/>
  <c r="M23" i="17"/>
  <c r="F119" i="7"/>
  <c r="M24" i="40"/>
  <c r="H36" i="57"/>
  <c r="K29" i="51"/>
  <c r="M19" i="53"/>
  <c r="C19" i="62"/>
  <c r="F19" i="62"/>
  <c r="F19" i="73"/>
  <c r="C19" i="3"/>
  <c r="K111" i="54"/>
  <c r="M77" i="70"/>
  <c r="F23" i="17"/>
  <c r="M29" i="51"/>
  <c r="H19" i="54"/>
  <c r="F30" i="49"/>
  <c r="M19" i="58"/>
  <c r="M50" i="25"/>
  <c r="F113" i="58"/>
  <c r="F19" i="58"/>
  <c r="F94" i="52"/>
  <c r="K19" i="3"/>
  <c r="M111" i="54"/>
  <c r="F19" i="68"/>
  <c r="K19" i="53"/>
  <c r="C430" i="17"/>
  <c r="F36" i="57"/>
  <c r="C19" i="34"/>
  <c r="K84" i="61"/>
  <c r="K19" i="59"/>
  <c r="F19" i="3"/>
  <c r="K19" i="45"/>
  <c r="H75" i="41"/>
  <c r="K100" i="34"/>
  <c r="M19" i="54"/>
  <c r="C19" i="41"/>
  <c r="M19" i="66"/>
  <c r="H19" i="59"/>
  <c r="C65" i="71"/>
  <c r="K55" i="50"/>
  <c r="K19" i="34"/>
  <c r="F19" i="61"/>
  <c r="H19" i="62"/>
  <c r="M19" i="3"/>
  <c r="C19" i="64"/>
  <c r="M19" i="61"/>
  <c r="M32" i="31"/>
  <c r="M19" i="63"/>
  <c r="F19" i="45"/>
  <c r="C36" i="57"/>
  <c r="M19" i="52"/>
  <c r="H65" i="63"/>
  <c r="M65" i="63"/>
  <c r="M90" i="72"/>
  <c r="K75" i="41"/>
  <c r="K19" i="68"/>
  <c r="C55" i="50"/>
  <c r="K19" i="41"/>
  <c r="K67" i="60"/>
  <c r="H85" i="64"/>
  <c r="H63" i="66"/>
  <c r="F75" i="41"/>
  <c r="H119" i="7"/>
  <c r="K19" i="72"/>
  <c r="M119" i="7"/>
  <c r="K86" i="53"/>
  <c r="F19" i="63"/>
  <c r="C67" i="60"/>
  <c r="H90" i="72"/>
  <c r="K19" i="54"/>
  <c r="K19" i="62"/>
  <c r="F19" i="70"/>
  <c r="K63" i="66"/>
  <c r="F19" i="60"/>
  <c r="F19" i="72"/>
  <c r="F84" i="61"/>
  <c r="F19" i="52"/>
  <c r="F430" i="17"/>
  <c r="C119" i="7"/>
  <c r="K19" i="75"/>
  <c r="M36" i="57"/>
  <c r="H29" i="51"/>
  <c r="M19" i="72"/>
  <c r="C148" i="45"/>
  <c r="M72" i="59"/>
  <c r="M148" i="45"/>
  <c r="M19" i="55"/>
  <c r="C94" i="52"/>
  <c r="H113" i="58"/>
  <c r="F156" i="49"/>
  <c r="H430" i="17"/>
  <c r="H151" i="57"/>
  <c r="F86" i="53"/>
  <c r="F111" i="54"/>
  <c r="C84" i="61"/>
  <c r="M156" i="49"/>
  <c r="M100" i="34"/>
  <c r="C19" i="55"/>
  <c r="F19" i="41"/>
  <c r="C19" i="54"/>
  <c r="C19" i="59"/>
  <c r="C23" i="17"/>
  <c r="M19" i="64"/>
  <c r="K430" i="17"/>
  <c r="K19" i="58"/>
  <c r="C100" i="34"/>
  <c r="H19" i="50"/>
  <c r="C19" i="70"/>
  <c r="H65" i="71"/>
  <c r="H19" i="3"/>
  <c r="F65" i="71"/>
  <c r="C19" i="75"/>
  <c r="F24" i="40"/>
  <c r="C24" i="40"/>
  <c r="F29" i="51"/>
  <c r="C29" i="51"/>
  <c r="F35" i="57" l="1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2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F84" i="64"/>
  <c r="K64" i="63"/>
  <c r="K42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57" i="38" l="1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5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5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56" i="38" l="1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5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8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3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5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6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<sst xmlns="http://schemas.openxmlformats.org/spreadsheetml/2006/main" count="5628" uniqueCount="768">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</sst>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47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78"/>
      <tableStyleElement type="headerRow" dxfId="1477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47328"/>
        <c:axId val="546546936"/>
      </c:scatterChart>
      <c:valAx>
        <c:axId val="54654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46936"/>
        <c:crosses val="autoZero"/>
        <c:crossBetween val="midCat"/>
      </c:valAx>
      <c:valAx>
        <c:axId val="54654693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47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48504"/>
        <c:axId val="546548896"/>
      </c:scatterChart>
      <c:valAx>
        <c:axId val="54654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48896"/>
        <c:crosses val="autoZero"/>
        <c:crossBetween val="midCat"/>
      </c:valAx>
      <c:valAx>
        <c:axId val="54654889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4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49680"/>
        <c:axId val="546550072"/>
      </c:scatterChart>
      <c:valAx>
        <c:axId val="54654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0072"/>
        <c:crosses val="autoZero"/>
        <c:crossBetween val="midCat"/>
      </c:valAx>
      <c:valAx>
        <c:axId val="5465500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4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50856"/>
        <c:axId val="546551248"/>
      </c:scatterChart>
      <c:valAx>
        <c:axId val="546550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1248"/>
        <c:crosses val="autoZero"/>
        <c:crossBetween val="midCat"/>
      </c:valAx>
      <c:valAx>
        <c:axId val="54655124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0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53600"/>
        <c:axId val="546553992"/>
      </c:scatterChart>
      <c:valAx>
        <c:axId val="54655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3992"/>
        <c:crosses val="autoZero"/>
        <c:crossBetween val="midCat"/>
      </c:valAx>
      <c:valAx>
        <c:axId val="54655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55168"/>
        <c:axId val="546555560"/>
      </c:scatterChart>
      <c:valAx>
        <c:axId val="54655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5560"/>
        <c:crosses val="autoZero"/>
        <c:crossBetween val="midCat"/>
      </c:valAx>
      <c:valAx>
        <c:axId val="54655556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53208"/>
        <c:axId val="546552816"/>
      </c:scatterChart>
      <c:valAx>
        <c:axId val="54655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2816"/>
        <c:crosses val="autoZero"/>
        <c:crossBetween val="midCat"/>
      </c:valAx>
      <c:valAx>
        <c:axId val="546552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32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56736"/>
        <c:axId val="546557128"/>
      </c:lineChart>
      <c:dateAx>
        <c:axId val="54655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7128"/>
        <c:crosses val="autoZero"/>
        <c:auto val="1"/>
        <c:lblOffset val="100"/>
        <c:baseTimeUnit val="days"/>
      </c:dateAx>
      <c:valAx>
        <c:axId val="5465571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5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31648"/>
        <c:axId val="547632040"/>
      </c:lineChart>
      <c:dateAx>
        <c:axId val="54763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32040"/>
        <c:crosses val="autoZero"/>
        <c:auto val="1"/>
        <c:lblOffset val="100"/>
        <c:baseTimeUnit val="days"/>
      </c:dateAx>
      <c:valAx>
        <c:axId val="5476320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3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34000"/>
        <c:axId val="547634392"/>
      </c:lineChart>
      <c:dateAx>
        <c:axId val="54763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34392"/>
        <c:crosses val="autoZero"/>
        <c:auto val="1"/>
        <c:lblOffset val="100"/>
        <c:baseTimeUnit val="days"/>
      </c:dateAx>
      <c:valAx>
        <c:axId val="547634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3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36352"/>
        <c:axId val="547636744"/>
      </c:lineChart>
      <c:dateAx>
        <c:axId val="54763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36744"/>
        <c:crosses val="autoZero"/>
        <c:auto val="1"/>
        <c:lblOffset val="100"/>
        <c:baseTimeUnit val="days"/>
      </c:dateAx>
      <c:valAx>
        <c:axId val="5476367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3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38704"/>
        <c:axId val="547639096"/>
      </c:lineChart>
      <c:dateAx>
        <c:axId val="547638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39096"/>
        <c:crosses val="autoZero"/>
        <c:auto val="1"/>
        <c:lblOffset val="100"/>
        <c:baseTimeUnit val="days"/>
      </c:dateAx>
      <c:valAx>
        <c:axId val="547639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3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41056"/>
        <c:axId val="547641448"/>
      </c:lineChart>
      <c:dateAx>
        <c:axId val="547641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41448"/>
        <c:crosses val="autoZero"/>
        <c:auto val="1"/>
        <c:lblOffset val="100"/>
        <c:baseTimeUnit val="days"/>
      </c:dateAx>
      <c:valAx>
        <c:axId val="54764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4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43408"/>
        <c:axId val="547643800"/>
      </c:lineChart>
      <c:dateAx>
        <c:axId val="54764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43800"/>
        <c:crosses val="autoZero"/>
        <c:auto val="1"/>
        <c:lblOffset val="100"/>
        <c:baseTimeUnit val="days"/>
      </c:dateAx>
      <c:valAx>
        <c:axId val="547643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4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45760"/>
        <c:axId val="547646152"/>
      </c:lineChart>
      <c:dateAx>
        <c:axId val="54764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46152"/>
        <c:crosses val="autoZero"/>
        <c:auto val="1"/>
        <c:lblOffset val="100"/>
        <c:baseTimeUnit val="days"/>
      </c:dateAx>
      <c:valAx>
        <c:axId val="5476461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4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250128"/>
        <c:axId val="671250520"/>
      </c:lineChart>
      <c:dateAx>
        <c:axId val="671250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0520"/>
        <c:crosses val="autoZero"/>
        <c:auto val="1"/>
        <c:lblOffset val="100"/>
        <c:baseTimeUnit val="days"/>
      </c:dateAx>
      <c:valAx>
        <c:axId val="6712505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252480"/>
        <c:axId val="671252872"/>
      </c:lineChart>
      <c:dateAx>
        <c:axId val="67125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2872"/>
        <c:crosses val="autoZero"/>
        <c:auto val="1"/>
        <c:lblOffset val="100"/>
        <c:baseTimeUnit val="days"/>
      </c:dateAx>
      <c:valAx>
        <c:axId val="6712528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254832"/>
        <c:axId val="671255224"/>
      </c:lineChart>
      <c:dateAx>
        <c:axId val="67125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5224"/>
        <c:crosses val="autoZero"/>
        <c:auto val="1"/>
        <c:lblOffset val="100"/>
        <c:baseTimeUnit val="days"/>
      </c:dateAx>
      <c:valAx>
        <c:axId val="6712552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256400"/>
        <c:axId val="671256792"/>
      </c:lineChart>
      <c:catAx>
        <c:axId val="67125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6792"/>
        <c:crosses val="autoZero"/>
        <c:auto val="1"/>
        <c:lblAlgn val="ctr"/>
        <c:lblOffset val="100"/>
        <c:noMultiLvlLbl val="0"/>
      </c:catAx>
      <c:valAx>
        <c:axId val="6712567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259144"/>
        <c:axId val="671259536"/>
      </c:lineChart>
      <c:dateAx>
        <c:axId val="67125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9536"/>
        <c:crosses val="autoZero"/>
        <c:auto val="1"/>
        <c:lblOffset val="100"/>
        <c:baseTimeUnit val="days"/>
      </c:dateAx>
      <c:valAx>
        <c:axId val="671259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5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261888"/>
        <c:axId val="671262280"/>
      </c:lineChart>
      <c:catAx>
        <c:axId val="67126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62280"/>
        <c:crosses val="autoZero"/>
        <c:auto val="1"/>
        <c:lblAlgn val="ctr"/>
        <c:lblOffset val="100"/>
        <c:noMultiLvlLbl val="1"/>
      </c:catAx>
      <c:valAx>
        <c:axId val="67126228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6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263848"/>
        <c:axId val="671264240"/>
      </c:lineChart>
      <c:dateAx>
        <c:axId val="67126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64240"/>
        <c:crosses val="autoZero"/>
        <c:auto val="1"/>
        <c:lblOffset val="100"/>
        <c:baseTimeUnit val="days"/>
      </c:dateAx>
      <c:valAx>
        <c:axId val="67126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6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40408"/>
        <c:axId val="548440800"/>
      </c:lineChart>
      <c:catAx>
        <c:axId val="54844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40800"/>
        <c:crosses val="autoZero"/>
        <c:auto val="1"/>
        <c:lblAlgn val="ctr"/>
        <c:lblOffset val="100"/>
        <c:noMultiLvlLbl val="0"/>
      </c:catAx>
      <c:valAx>
        <c:axId val="548440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4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43936"/>
        <c:axId val="548444328"/>
      </c:lineChart>
      <c:dateAx>
        <c:axId val="54844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44328"/>
        <c:crosses val="autoZero"/>
        <c:auto val="1"/>
        <c:lblOffset val="100"/>
        <c:baseTimeUnit val="days"/>
      </c:dateAx>
      <c:valAx>
        <c:axId val="548444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4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46288"/>
        <c:axId val="548446680"/>
      </c:lineChart>
      <c:dateAx>
        <c:axId val="54844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46680"/>
        <c:crosses val="autoZero"/>
        <c:auto val="1"/>
        <c:lblOffset val="100"/>
        <c:baseTimeUnit val="days"/>
      </c:dateAx>
      <c:valAx>
        <c:axId val="5484466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49816"/>
        <c:axId val="548450208"/>
      </c:lineChart>
      <c:catAx>
        <c:axId val="548449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50208"/>
        <c:crosses val="autoZero"/>
        <c:auto val="1"/>
        <c:lblAlgn val="ctr"/>
        <c:lblOffset val="100"/>
        <c:noMultiLvlLbl val="0"/>
      </c:catAx>
      <c:valAx>
        <c:axId val="548450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4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52560"/>
        <c:axId val="548452952"/>
      </c:lineChart>
      <c:dateAx>
        <c:axId val="54845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52952"/>
        <c:crosses val="autoZero"/>
        <c:auto val="1"/>
        <c:lblOffset val="100"/>
        <c:baseTimeUnit val="days"/>
      </c:dateAx>
      <c:valAx>
        <c:axId val="548452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5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454912"/>
        <c:axId val="548455304"/>
      </c:lineChart>
      <c:catAx>
        <c:axId val="548454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55304"/>
        <c:crosses val="autoZero"/>
        <c:auto val="1"/>
        <c:lblAlgn val="ctr"/>
        <c:lblOffset val="100"/>
        <c:noMultiLvlLbl val="0"/>
      </c:catAx>
      <c:valAx>
        <c:axId val="5484553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45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30256"/>
        <c:axId val="702330648"/>
      </c:lineChart>
      <c:dateAx>
        <c:axId val="70233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0648"/>
        <c:crosses val="autoZero"/>
        <c:auto val="1"/>
        <c:lblOffset val="100"/>
        <c:baseTimeUnit val="days"/>
      </c:dateAx>
      <c:valAx>
        <c:axId val="702330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32608"/>
        <c:axId val="702333000"/>
      </c:lineChart>
      <c:catAx>
        <c:axId val="702332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3000"/>
        <c:crosses val="autoZero"/>
        <c:auto val="1"/>
        <c:lblAlgn val="ctr"/>
        <c:lblOffset val="100"/>
        <c:noMultiLvlLbl val="0"/>
      </c:catAx>
      <c:valAx>
        <c:axId val="702333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34960"/>
        <c:axId val="702335352"/>
      </c:lineChart>
      <c:dateAx>
        <c:axId val="70233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5352"/>
        <c:crosses val="autoZero"/>
        <c:auto val="1"/>
        <c:lblOffset val="100"/>
        <c:baseTimeUnit val="days"/>
      </c:dateAx>
      <c:valAx>
        <c:axId val="7023353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37312"/>
        <c:axId val="702337704"/>
      </c:lineChart>
      <c:dateAx>
        <c:axId val="702337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7704"/>
        <c:crosses val="autoZero"/>
        <c:auto val="1"/>
        <c:lblOffset val="100"/>
        <c:baseTimeUnit val="days"/>
      </c:dateAx>
      <c:valAx>
        <c:axId val="7023377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39664"/>
        <c:axId val="702340056"/>
      </c:lineChart>
      <c:dateAx>
        <c:axId val="702339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40056"/>
        <c:crosses val="autoZero"/>
        <c:auto val="1"/>
        <c:lblOffset val="100"/>
        <c:baseTimeUnit val="days"/>
      </c:dateAx>
      <c:valAx>
        <c:axId val="7023400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3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42016"/>
        <c:axId val="702342408"/>
      </c:lineChart>
      <c:dateAx>
        <c:axId val="702342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42408"/>
        <c:crosses val="autoZero"/>
        <c:auto val="1"/>
        <c:lblOffset val="100"/>
        <c:baseTimeUnit val="days"/>
      </c:dateAx>
      <c:valAx>
        <c:axId val="702342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4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344368"/>
        <c:axId val="718446512"/>
      </c:lineChart>
      <c:dateAx>
        <c:axId val="70234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46512"/>
        <c:crosses val="autoZero"/>
        <c:auto val="1"/>
        <c:lblOffset val="100"/>
        <c:baseTimeUnit val="days"/>
      </c:dateAx>
      <c:valAx>
        <c:axId val="7184465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34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48472"/>
        <c:axId val="718448864"/>
      </c:lineChart>
      <c:dateAx>
        <c:axId val="7184484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48864"/>
        <c:crosses val="autoZero"/>
        <c:auto val="0"/>
        <c:lblOffset val="100"/>
        <c:baseTimeUnit val="days"/>
      </c:dateAx>
      <c:valAx>
        <c:axId val="7184488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48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52000"/>
        <c:axId val="718452392"/>
      </c:lineChart>
      <c:dateAx>
        <c:axId val="718452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52392"/>
        <c:crosses val="autoZero"/>
        <c:auto val="1"/>
        <c:lblOffset val="100"/>
        <c:baseTimeUnit val="days"/>
      </c:dateAx>
      <c:valAx>
        <c:axId val="7184523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5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54352"/>
        <c:axId val="718454744"/>
      </c:lineChart>
      <c:dateAx>
        <c:axId val="718454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54744"/>
        <c:crosses val="autoZero"/>
        <c:auto val="1"/>
        <c:lblOffset val="100"/>
        <c:baseTimeUnit val="days"/>
      </c:dateAx>
      <c:valAx>
        <c:axId val="718454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5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56704"/>
        <c:axId val="718457096"/>
      </c:lineChart>
      <c:catAx>
        <c:axId val="718456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57096"/>
        <c:crosses val="autoZero"/>
        <c:auto val="1"/>
        <c:lblAlgn val="ctr"/>
        <c:lblOffset val="100"/>
        <c:noMultiLvlLbl val="0"/>
      </c:catAx>
      <c:valAx>
        <c:axId val="718457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5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59056"/>
        <c:axId val="718459448"/>
      </c:lineChart>
      <c:catAx>
        <c:axId val="718459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59448"/>
        <c:crosses val="autoZero"/>
        <c:auto val="1"/>
        <c:lblAlgn val="ctr"/>
        <c:lblOffset val="100"/>
        <c:noMultiLvlLbl val="0"/>
      </c:catAx>
      <c:valAx>
        <c:axId val="718459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5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61408"/>
        <c:axId val="718461800"/>
      </c:lineChart>
      <c:catAx>
        <c:axId val="71846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61800"/>
        <c:crosses val="autoZero"/>
        <c:auto val="1"/>
        <c:lblAlgn val="ctr"/>
        <c:lblOffset val="100"/>
        <c:noMultiLvlLbl val="0"/>
      </c:catAx>
      <c:valAx>
        <c:axId val="7184618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6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611544"/>
        <c:axId val="751611936"/>
      </c:lineChart>
      <c:dateAx>
        <c:axId val="751611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1936"/>
        <c:crosses val="autoZero"/>
        <c:auto val="1"/>
        <c:lblOffset val="100"/>
        <c:baseTimeUnit val="days"/>
      </c:dateAx>
      <c:valAx>
        <c:axId val="751611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613896"/>
        <c:axId val="751614288"/>
      </c:lineChart>
      <c:dateAx>
        <c:axId val="751613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4288"/>
        <c:crosses val="autoZero"/>
        <c:auto val="1"/>
        <c:lblOffset val="100"/>
        <c:baseTimeUnit val="days"/>
      </c:dateAx>
      <c:valAx>
        <c:axId val="7516142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616248"/>
        <c:axId val="751616640"/>
      </c:lineChart>
      <c:dateAx>
        <c:axId val="75161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6640"/>
        <c:crosses val="autoZero"/>
        <c:auto val="1"/>
        <c:lblOffset val="100"/>
        <c:baseTimeUnit val="days"/>
      </c:dateAx>
      <c:valAx>
        <c:axId val="75161664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619384"/>
        <c:axId val="751619776"/>
      </c:lineChart>
      <c:dateAx>
        <c:axId val="75161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9776"/>
        <c:crosses val="autoZero"/>
        <c:auto val="1"/>
        <c:lblOffset val="100"/>
        <c:baseTimeUnit val="days"/>
      </c:dateAx>
      <c:valAx>
        <c:axId val="751619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623304"/>
        <c:axId val="751623696"/>
      </c:lineChart>
      <c:dateAx>
        <c:axId val="75162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23696"/>
        <c:crosses val="autoZero"/>
        <c:auto val="1"/>
        <c:lblOffset val="100"/>
        <c:baseTimeUnit val="days"/>
      </c:dateAx>
      <c:valAx>
        <c:axId val="7516236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2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625656"/>
        <c:axId val="751626048"/>
      </c:lineChart>
      <c:dateAx>
        <c:axId val="751625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26048"/>
        <c:crosses val="autoZero"/>
        <c:auto val="1"/>
        <c:lblOffset val="100"/>
        <c:baseTimeUnit val="days"/>
      </c:dateAx>
      <c:valAx>
        <c:axId val="751626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2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369128"/>
        <c:axId val="753369520"/>
      </c:lineChart>
      <c:catAx>
        <c:axId val="753369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69520"/>
        <c:crosses val="autoZero"/>
        <c:auto val="1"/>
        <c:lblAlgn val="ctr"/>
        <c:lblOffset val="100"/>
        <c:noMultiLvlLbl val="0"/>
      </c:catAx>
      <c:valAx>
        <c:axId val="7533695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6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371480"/>
        <c:axId val="753371872"/>
      </c:lineChart>
      <c:catAx>
        <c:axId val="753371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71872"/>
        <c:crosses val="autoZero"/>
        <c:auto val="1"/>
        <c:lblAlgn val="ctr"/>
        <c:lblOffset val="100"/>
        <c:noMultiLvlLbl val="0"/>
      </c:catAx>
      <c:valAx>
        <c:axId val="753371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7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373832"/>
        <c:axId val="753374224"/>
      </c:lineChart>
      <c:catAx>
        <c:axId val="753373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74224"/>
        <c:crosses val="autoZero"/>
        <c:auto val="1"/>
        <c:lblAlgn val="ctr"/>
        <c:lblOffset val="100"/>
        <c:noMultiLvlLbl val="0"/>
      </c:catAx>
      <c:valAx>
        <c:axId val="753374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7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376184"/>
        <c:axId val="753376576"/>
      </c:lineChart>
      <c:dateAx>
        <c:axId val="753376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76576"/>
        <c:crosses val="autoZero"/>
        <c:auto val="1"/>
        <c:lblOffset val="100"/>
        <c:baseTimeUnit val="days"/>
      </c:dateAx>
      <c:valAx>
        <c:axId val="7533765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7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378536"/>
        <c:axId val="753378928"/>
      </c:lineChart>
      <c:dateAx>
        <c:axId val="753378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78928"/>
        <c:crosses val="autoZero"/>
        <c:auto val="1"/>
        <c:lblOffset val="100"/>
        <c:baseTimeUnit val="days"/>
      </c:dateAx>
      <c:valAx>
        <c:axId val="7533789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7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68</xdr:row>
      <xdr:rowOff>124565</xdr:rowOff>
    </xdr:from>
    <xdr:to>
      <xdr:col>17</xdr:col>
      <xdr:colOff>954230</xdr:colOff>
      <xdr:row>100</xdr:row>
      <xdr:rowOff>9524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5825" y="13240490"/>
          <a:ext cx="12298505" cy="598095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dg" backgroundRefresh="0" adjustColumnWidt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pinc" backgroundRefresh="0" connectionId="9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pinc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foxa" backgroundRefresh="0" connectionId="8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foxa" backgroundRefresh="0" adjustColumnWidth="0" connectionId="8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luv&amp;ql=1" backgroundRefresh="0" connectionId="8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LUV" backgroundRefresh="0" adjustColumnWidth="0" connectionId="7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KAM+Historical+Prices" backgroundRefresh="0" adjustColumnWidth="0" connectionId="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backgroundRefresh="0" connectionId="8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vs" backgroundRefresh="0" connectionId="9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v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JNJ" backgroundRefresh="0" connectionId="9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jnj" backgroundRefresh="0" adjustColumnWidth="0" connectionId="9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MOS" backgroundRefres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MOS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vgk" backgroundRefresh="0" connectionId="7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vgk" backgroundRefresh="0" connectionId="7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HES" backgroundRefresh="0" connectionId="7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clh" backgroundRefres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clh" backgroundRefresh="0" adjustColumnWidth="0" connectionId="9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PY" backgroundRefresh="0" connectionId="7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PY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WFC" backgroundRefresh="0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F" backgroundRefresh="0" connectionId="4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IS_1" backgroundRefresh="0" adjustColumnWidth="0" connectionId="7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IS" adjustColumnWidth="0" connectionId="6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359" dataDxfId="1358">
  <autoFilter ref="O15:W26"/>
  <tableColumns count="9">
    <tableColumn id="1" name="Date" dataDxfId="1357"/>
    <tableColumn id="2" name="Quarter" dataDxfId="1356"/>
    <tableColumn id="3" name="Time" dataDxfId="1355"/>
    <tableColumn id="4" name="EPS estimate" dataDxfId="1354"/>
    <tableColumn id="5" name="EPS Actual" dataDxfId="1353"/>
    <tableColumn id="6" name="Sales Estiamte (B)" dataDxfId="1352"/>
    <tableColumn id="7" name="Sales Actual (B)" dataDxfId="1351"/>
    <tableColumn id="8" name="Guidance" dataDxfId="1350"/>
    <tableColumn id="9" name="Reaction" dataDxfId="134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024" dataDxfId="1023">
  <autoFilter ref="O14:W25"/>
  <tableColumns count="9">
    <tableColumn id="1" name="Date" dataDxfId="1022"/>
    <tableColumn id="2" name="Quarter" dataDxfId="1021"/>
    <tableColumn id="3" name="Time" dataDxfId="1020"/>
    <tableColumn id="4" name="EPS estimate" dataDxfId="1019"/>
    <tableColumn id="5" name="EPS Actual" dataDxfId="1018"/>
    <tableColumn id="6" name="Sales Estiamte (B)" dataDxfId="1017"/>
    <tableColumn id="7" name="Sales Actual (B)" dataDxfId="1016"/>
    <tableColumn id="8" name="Guidance" dataDxfId="1015"/>
    <tableColumn id="9" name="Reaction" dataDxfId="101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959" dataDxfId="958">
  <autoFilter ref="O15:W26"/>
  <tableColumns count="9">
    <tableColumn id="1" name="Date" dataDxfId="957"/>
    <tableColumn id="2" name="Quarter" dataDxfId="956"/>
    <tableColumn id="3" name="Time" dataDxfId="955"/>
    <tableColumn id="4" name="EPS estimate" dataDxfId="954"/>
    <tableColumn id="5" name="EPS Actual" dataDxfId="953"/>
    <tableColumn id="6" name="Sales Estiamte (B)" dataDxfId="952"/>
    <tableColumn id="7" name="Sales Actual (B)" dataDxfId="951"/>
    <tableColumn id="8" name="Guidance" dataDxfId="950"/>
    <tableColumn id="9" name="Reaction" dataDxfId="94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364" dataDxfId="363">
  <autoFilter ref="O15:W26"/>
  <tableColumns count="9">
    <tableColumn id="1" name="Date" dataDxfId="362"/>
    <tableColumn id="2" name="Quarter" dataDxfId="361"/>
    <tableColumn id="3" name="Time" dataDxfId="360"/>
    <tableColumn id="4" name="EPS estimate" dataDxfId="359"/>
    <tableColumn id="5" name="EPS Actual" dataDxfId="358"/>
    <tableColumn id="6" name="Sales Estiamte (B)" dataDxfId="357"/>
    <tableColumn id="7" name="Sales Actual (B)" dataDxfId="356"/>
    <tableColumn id="8" name="Guidance" dataDxfId="355"/>
    <tableColumn id="9" name="Reaction" dataDxfId="35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5.xml"/><Relationship Id="rId5" Type="http://schemas.openxmlformats.org/officeDocument/2006/relationships/table" Target="../tables/table3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http://www.trendforce.com/price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4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4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48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0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54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5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8.xml"/><Relationship Id="rId4" Type="http://schemas.openxmlformats.org/officeDocument/2006/relationships/queryTable" Target="../queryTables/queryTable57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6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6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6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7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7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7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7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6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0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90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9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94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2"/>
  <sheetViews>
    <sheetView tabSelected="1" zoomScaleNormal="100" workbookViewId="0">
      <pane ySplit="1" topLeftCell="A2" activePane="bottomLeft" state="frozen"/>
      <selection pane="bottomLeft" activeCell="S12" sqref="S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5" bestFit="1" customWidth="1"/>
    <col min="7" max="7" width="10.7109375" style="245" bestFit="1" customWidth="1"/>
    <col min="8" max="8" width="12.140625" style="50" customWidth="1"/>
    <col min="9" max="9" width="10.7109375" style="49" bestFit="1" customWidth="1"/>
    <col min="10" max="10" width="14.140625" style="372" bestFit="1" customWidth="1"/>
    <col min="11" max="11" width="14.140625" style="135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7" customWidth="1"/>
    <col min="16" max="16" width="12.85546875" style="357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4" t="s">
        <v>142</v>
      </c>
      <c r="G1" s="244" t="s">
        <v>73</v>
      </c>
      <c r="H1" s="57" t="s">
        <v>57</v>
      </c>
      <c r="I1" s="58" t="s">
        <v>74</v>
      </c>
      <c r="J1" s="370" t="s">
        <v>181</v>
      </c>
      <c r="K1" s="356" t="s">
        <v>209</v>
      </c>
      <c r="L1" s="58" t="s">
        <v>179</v>
      </c>
      <c r="M1" s="58" t="s">
        <v>232</v>
      </c>
      <c r="N1" s="58" t="s">
        <v>92</v>
      </c>
      <c r="O1" s="356" t="s">
        <v>208</v>
      </c>
      <c r="P1" s="356" t="s">
        <v>287</v>
      </c>
    </row>
    <row r="2" spans="1:21" ht="21.95" customHeight="1" x14ac:dyDescent="0.25">
      <c r="A2" s="51"/>
      <c r="B2" s="51"/>
      <c r="C2" s="52"/>
      <c r="E2" s="23" t="s">
        <v>50</v>
      </c>
      <c r="F2" s="245">
        <v>11.53</v>
      </c>
      <c r="G2" s="245">
        <v>15.342536904761904</v>
      </c>
      <c r="H2" s="333">
        <v>8400</v>
      </c>
      <c r="I2" s="49">
        <v>128877.30999999998</v>
      </c>
      <c r="J2" s="371">
        <v>-32025.309999999983</v>
      </c>
      <c r="K2" s="357">
        <v>-0.24849455656701711</v>
      </c>
      <c r="L2" s="371">
        <v>-17409.738999998357</v>
      </c>
      <c r="M2">
        <v>7200</v>
      </c>
      <c r="N2" s="368" t="str">
        <f t="shared" ref="N2:N33" si="0">HYPERLINK("http://finance.yahoo.com/q?s=" &amp; E2, "Link")</f>
        <v>Link</v>
      </c>
      <c r="O2" s="367">
        <v>1.34E-2</v>
      </c>
      <c r="P2" s="367">
        <v>-8.6E-3</v>
      </c>
      <c r="Q2" s="149"/>
      <c r="S2" s="49"/>
      <c r="T2" s="49"/>
    </row>
    <row r="3" spans="1:21" ht="21.95" customHeight="1" x14ac:dyDescent="0.25">
      <c r="A3" s="51"/>
      <c r="B3" s="51"/>
      <c r="C3" s="52"/>
      <c r="E3" s="23" t="s">
        <v>197</v>
      </c>
      <c r="F3" s="245">
        <v>23.11</v>
      </c>
      <c r="G3" s="245">
        <v>29.701340000000002</v>
      </c>
      <c r="H3" s="333">
        <v>2000</v>
      </c>
      <c r="I3" s="49">
        <v>59402.68</v>
      </c>
      <c r="J3" s="371">
        <v>-13182.680000000008</v>
      </c>
      <c r="K3" s="357">
        <v>-0.22192062715015559</v>
      </c>
      <c r="L3" s="371">
        <v>-11434.710000000014</v>
      </c>
      <c r="M3">
        <v>1900</v>
      </c>
      <c r="N3" s="368" t="str">
        <f t="shared" si="0"/>
        <v>Link</v>
      </c>
      <c r="O3" s="367">
        <v>1.6299999999999999E-2</v>
      </c>
      <c r="P3" s="367">
        <v>-1.9900000000000001E-2</v>
      </c>
    </row>
    <row r="4" spans="1:21" ht="21.95" customHeight="1" x14ac:dyDescent="0.25">
      <c r="A4" s="52"/>
      <c r="B4" s="52"/>
      <c r="C4" s="52"/>
      <c r="E4" s="23" t="s">
        <v>17</v>
      </c>
      <c r="F4" s="245">
        <v>13.91</v>
      </c>
      <c r="G4" s="245">
        <v>35.42287000000011</v>
      </c>
      <c r="H4" s="333">
        <v>1000</v>
      </c>
      <c r="I4" s="49">
        <v>35422.870000000112</v>
      </c>
      <c r="J4" s="371">
        <v>-21512.870000000112</v>
      </c>
      <c r="K4" s="357">
        <v>-0.60731583860935157</v>
      </c>
      <c r="L4" s="371">
        <v>-21512.870000000112</v>
      </c>
      <c r="M4">
        <v>800</v>
      </c>
      <c r="N4" s="368" t="str">
        <f t="shared" si="0"/>
        <v>Link</v>
      </c>
      <c r="O4" s="367">
        <v>0</v>
      </c>
      <c r="P4" s="367">
        <v>5.1000000000000004E-3</v>
      </c>
      <c r="R4" s="49"/>
      <c r="S4" s="49"/>
    </row>
    <row r="5" spans="1:21" ht="21.95" customHeight="1" x14ac:dyDescent="0.25">
      <c r="A5" s="51"/>
      <c r="B5" s="51"/>
      <c r="C5" s="52"/>
      <c r="E5" s="23" t="s">
        <v>216</v>
      </c>
      <c r="F5" s="245">
        <v>53.57</v>
      </c>
      <c r="G5" s="245">
        <v>65.256857142857157</v>
      </c>
      <c r="H5" s="333">
        <v>350</v>
      </c>
      <c r="I5" s="49">
        <v>22839.900000000005</v>
      </c>
      <c r="J5" s="371">
        <v>-4090.4000000000051</v>
      </c>
      <c r="K5" s="357">
        <v>-0.17909010109501372</v>
      </c>
      <c r="L5" s="371">
        <v>-3414.4500000000044</v>
      </c>
      <c r="M5">
        <v>250</v>
      </c>
      <c r="N5" s="368" t="str">
        <f t="shared" si="0"/>
        <v>Link</v>
      </c>
      <c r="O5" s="367">
        <v>2.1899999999999999E-2</v>
      </c>
      <c r="P5" s="367">
        <v>-4.8500000000000001E-2</v>
      </c>
      <c r="S5" s="49"/>
      <c r="T5" s="49"/>
    </row>
    <row r="6" spans="1:21" ht="21.95" customHeight="1" x14ac:dyDescent="0.25">
      <c r="A6" s="51"/>
      <c r="B6" s="51"/>
      <c r="C6" s="52"/>
      <c r="E6" s="23" t="s">
        <v>228</v>
      </c>
      <c r="F6" s="245">
        <v>20.16</v>
      </c>
      <c r="G6" s="245">
        <v>24.087374999999998</v>
      </c>
      <c r="H6" s="333">
        <v>800</v>
      </c>
      <c r="I6" s="49">
        <v>19269.899999999998</v>
      </c>
      <c r="J6" s="371">
        <v>-3141.8999999999978</v>
      </c>
      <c r="K6" s="357">
        <v>-0.16304703189949085</v>
      </c>
      <c r="L6" s="371">
        <v>-1689.6399999999994</v>
      </c>
      <c r="M6">
        <v>400</v>
      </c>
      <c r="N6" s="368" t="str">
        <f t="shared" si="0"/>
        <v>Link</v>
      </c>
      <c r="O6" s="367">
        <v>2.06E-2</v>
      </c>
      <c r="P6" s="367">
        <v>-7.4000000000000003E-3</v>
      </c>
      <c r="R6" s="49"/>
      <c r="S6" s="49"/>
    </row>
    <row r="7" spans="1:21" ht="21.95" customHeight="1" x14ac:dyDescent="0.25">
      <c r="A7" s="51"/>
      <c r="B7" s="51"/>
      <c r="C7" s="52"/>
      <c r="E7" s="23" t="s">
        <v>55</v>
      </c>
      <c r="F7" s="245">
        <v>73.12</v>
      </c>
      <c r="G7" s="245">
        <v>78.535400000000024</v>
      </c>
      <c r="H7" s="50">
        <v>200</v>
      </c>
      <c r="I7" s="49">
        <v>15707.080000000005</v>
      </c>
      <c r="J7" s="371">
        <v>-1083.0800000000017</v>
      </c>
      <c r="K7" s="357">
        <v>-6.8954891679421232E-2</v>
      </c>
      <c r="L7" s="49">
        <v>-1083.0800000000017</v>
      </c>
      <c r="M7">
        <v>200</v>
      </c>
      <c r="N7" s="368" t="str">
        <f t="shared" si="0"/>
        <v>Link</v>
      </c>
      <c r="O7" s="357">
        <v>3.0599999999999999E-2</v>
      </c>
      <c r="P7" s="357">
        <v>4.3E-3</v>
      </c>
      <c r="Q7" s="444"/>
      <c r="R7" s="49"/>
      <c r="S7" s="49"/>
    </row>
    <row r="8" spans="1:21" ht="21.95" customHeight="1" x14ac:dyDescent="0.25">
      <c r="A8" s="51"/>
      <c r="B8" s="51"/>
      <c r="C8" s="52"/>
      <c r="E8" s="23" t="s">
        <v>750</v>
      </c>
      <c r="F8" s="245">
        <v>87.08</v>
      </c>
      <c r="G8" s="245">
        <v>105.3728</v>
      </c>
      <c r="H8" s="333">
        <v>125</v>
      </c>
      <c r="I8" s="49">
        <v>13171.6</v>
      </c>
      <c r="J8" s="371">
        <v>-2286.6000000000004</v>
      </c>
      <c r="K8" s="357">
        <v>-0.17360077743022867</v>
      </c>
      <c r="L8" s="371">
        <v>-2286.6000000000004</v>
      </c>
      <c r="M8">
        <v>75</v>
      </c>
      <c r="N8" s="368" t="str">
        <f t="shared" si="0"/>
        <v>Link</v>
      </c>
      <c r="O8" s="367">
        <v>2.8E-3</v>
      </c>
      <c r="P8" s="367">
        <v>-0.2034</v>
      </c>
      <c r="R8" s="49"/>
      <c r="S8" s="49"/>
    </row>
    <row r="9" spans="1:21" ht="21.95" customHeight="1" x14ac:dyDescent="0.25">
      <c r="A9" s="51"/>
      <c r="B9" s="51"/>
      <c r="C9" s="52"/>
      <c r="E9" s="23" t="s">
        <v>173</v>
      </c>
      <c r="F9" s="245">
        <v>52.85</v>
      </c>
      <c r="G9" s="245">
        <v>52.723333333333329</v>
      </c>
      <c r="H9" s="333">
        <v>240</v>
      </c>
      <c r="I9" s="49">
        <v>12653.599999999999</v>
      </c>
      <c r="J9" s="371">
        <v>30.400000000001455</v>
      </c>
      <c r="K9" s="357">
        <v>2.4024783460834345E-3</v>
      </c>
      <c r="L9" s="371">
        <v>1235.2800000000025</v>
      </c>
      <c r="M9">
        <v>120</v>
      </c>
      <c r="N9" s="368" t="str">
        <f t="shared" si="0"/>
        <v>Link</v>
      </c>
      <c r="O9" s="367">
        <v>2.7300000000000001E-2</v>
      </c>
      <c r="P9" s="367">
        <v>2.0000000000000001E-4</v>
      </c>
      <c r="R9" s="49"/>
      <c r="S9" s="49"/>
    </row>
    <row r="10" spans="1:21" ht="21.95" customHeight="1" x14ac:dyDescent="0.25">
      <c r="A10" s="51"/>
      <c r="B10" s="51"/>
      <c r="C10" s="52"/>
      <c r="E10" s="23" t="s">
        <v>34</v>
      </c>
      <c r="F10" s="245">
        <v>29.68</v>
      </c>
      <c r="G10" s="245">
        <v>26.957955555555561</v>
      </c>
      <c r="H10" s="333">
        <v>450</v>
      </c>
      <c r="I10" s="49">
        <v>12131.080000000002</v>
      </c>
      <c r="J10" s="371">
        <v>1224.9199999999983</v>
      </c>
      <c r="K10" s="357">
        <v>0.10097369731301725</v>
      </c>
      <c r="L10" s="371">
        <v>20171.716999999786</v>
      </c>
      <c r="M10">
        <v>200</v>
      </c>
      <c r="N10" s="368" t="str">
        <f t="shared" si="0"/>
        <v>Link</v>
      </c>
      <c r="O10" s="367">
        <v>0</v>
      </c>
      <c r="P10" s="367">
        <v>1.4999999999999999E-2</v>
      </c>
    </row>
    <row r="11" spans="1:21" ht="21.95" customHeight="1" x14ac:dyDescent="0.25">
      <c r="A11" s="51"/>
      <c r="B11" s="51"/>
      <c r="C11" s="52"/>
      <c r="E11" s="23" t="s">
        <v>171</v>
      </c>
      <c r="F11" s="245">
        <v>57.31</v>
      </c>
      <c r="G11" s="245">
        <v>58.057100000000013</v>
      </c>
      <c r="H11" s="333">
        <v>200</v>
      </c>
      <c r="I11" s="49">
        <v>11611.420000000002</v>
      </c>
      <c r="J11" s="371">
        <v>-149.42000000000189</v>
      </c>
      <c r="K11" s="357">
        <v>-1.286836579849855E-2</v>
      </c>
      <c r="L11" s="371">
        <v>-99.470000000002074</v>
      </c>
      <c r="M11">
        <v>200</v>
      </c>
      <c r="N11" s="368" t="str">
        <f t="shared" si="0"/>
        <v>Link</v>
      </c>
      <c r="O11" s="367">
        <v>3.2500000000000001E-2</v>
      </c>
      <c r="P11" s="367">
        <v>-1.6000000000000001E-3</v>
      </c>
      <c r="Q11" s="149"/>
      <c r="S11" s="49"/>
      <c r="T11" s="49"/>
    </row>
    <row r="12" spans="1:21" ht="21.95" customHeight="1" x14ac:dyDescent="0.25">
      <c r="A12" s="51"/>
      <c r="B12" s="51"/>
      <c r="C12" s="52"/>
      <c r="E12" s="23" t="s">
        <v>9</v>
      </c>
      <c r="F12" s="245">
        <v>14.34</v>
      </c>
      <c r="G12" s="245">
        <v>38.98240601503759</v>
      </c>
      <c r="H12" s="50">
        <v>266</v>
      </c>
      <c r="I12" s="49">
        <v>10369.32</v>
      </c>
      <c r="J12" s="371">
        <v>-6554.8799999999992</v>
      </c>
      <c r="K12" s="357">
        <v>-0.63214174121350286</v>
      </c>
      <c r="L12" s="49">
        <v>-6119.9499999999989</v>
      </c>
      <c r="M12" s="30">
        <v>42993</v>
      </c>
      <c r="N12" s="368" t="str">
        <f t="shared" si="0"/>
        <v>Link</v>
      </c>
      <c r="O12" s="357">
        <v>0.1963</v>
      </c>
      <c r="P12" s="357">
        <v>-6.0900000000000003E-2</v>
      </c>
      <c r="S12" s="49"/>
    </row>
    <row r="13" spans="1:21" ht="21.95" customHeight="1" x14ac:dyDescent="0.25">
      <c r="A13" s="51"/>
      <c r="B13" s="51"/>
      <c r="C13" s="52"/>
      <c r="E13" s="23" t="s">
        <v>358</v>
      </c>
      <c r="F13" s="245">
        <v>54.35</v>
      </c>
      <c r="G13" s="245">
        <v>53.090222222222231</v>
      </c>
      <c r="H13" s="333">
        <v>180</v>
      </c>
      <c r="I13" s="434">
        <v>9556.2400000000016</v>
      </c>
      <c r="J13" s="371">
        <v>226.7599999999984</v>
      </c>
      <c r="K13" s="357">
        <v>2.3728998015955932E-2</v>
      </c>
      <c r="L13" s="371">
        <v>226.7599999999984</v>
      </c>
      <c r="M13">
        <v>80</v>
      </c>
      <c r="N13" s="368" t="str">
        <f t="shared" si="0"/>
        <v>Link</v>
      </c>
      <c r="O13" s="367">
        <v>4.3499999999999997E-2</v>
      </c>
      <c r="P13" s="367">
        <v>-2.58E-2</v>
      </c>
      <c r="Q13" s="49"/>
      <c r="R13" s="49"/>
      <c r="S13" s="49"/>
      <c r="T13" s="355"/>
      <c r="U13" s="355"/>
    </row>
    <row r="14" spans="1:21" ht="21.95" customHeight="1" x14ac:dyDescent="0.25">
      <c r="A14" s="51"/>
      <c r="B14" s="51"/>
      <c r="C14" s="51"/>
      <c r="E14" s="23" t="s">
        <v>225</v>
      </c>
      <c r="F14" s="245">
        <v>30.3</v>
      </c>
      <c r="G14" s="245">
        <v>29.986960000000007</v>
      </c>
      <c r="H14" s="50">
        <v>250</v>
      </c>
      <c r="I14" s="49">
        <v>7496.7400000000016</v>
      </c>
      <c r="J14" s="371">
        <v>78.259999999998399</v>
      </c>
      <c r="K14" s="357">
        <v>1.0439204240776448E-2</v>
      </c>
      <c r="L14" s="49">
        <v>3388.7299999999923</v>
      </c>
      <c r="M14">
        <v>50</v>
      </c>
      <c r="N14" s="368" t="str">
        <f t="shared" si="0"/>
        <v>Link</v>
      </c>
      <c r="O14" s="357">
        <v>4.0899999999999999E-2</v>
      </c>
      <c r="P14" s="357">
        <v>2.5999999999999999E-3</v>
      </c>
      <c r="S14" s="49"/>
    </row>
    <row r="15" spans="1:21" ht="21.95" customHeight="1" x14ac:dyDescent="0.25">
      <c r="A15" s="156"/>
      <c r="B15" s="51"/>
      <c r="C15" s="52"/>
      <c r="E15" s="23" t="s">
        <v>273</v>
      </c>
      <c r="F15" s="245">
        <v>73.64</v>
      </c>
      <c r="G15" s="245">
        <v>69.406599999999997</v>
      </c>
      <c r="H15" s="333">
        <v>100</v>
      </c>
      <c r="I15" s="49">
        <v>6940.66</v>
      </c>
      <c r="J15" s="371">
        <v>423.34000000000015</v>
      </c>
      <c r="K15" s="357">
        <v>6.0994199398904478E-2</v>
      </c>
      <c r="L15" s="371">
        <v>581.63999999999942</v>
      </c>
      <c r="M15">
        <v>100</v>
      </c>
      <c r="N15" s="368" t="str">
        <f t="shared" si="0"/>
        <v>Link</v>
      </c>
      <c r="O15" s="367">
        <v>1.49E-2</v>
      </c>
      <c r="P15" s="367">
        <v>-3.8300000000000001E-2</v>
      </c>
      <c r="Q15" s="49"/>
      <c r="R15" s="49"/>
      <c r="S15" s="49"/>
      <c r="T15" s="49"/>
    </row>
    <row r="16" spans="1:21" ht="21.95" customHeight="1" x14ac:dyDescent="0.25">
      <c r="A16" s="51"/>
      <c r="B16" s="51"/>
      <c r="C16" s="52"/>
      <c r="E16" s="23" t="s">
        <v>344</v>
      </c>
      <c r="F16" s="245">
        <v>17.97</v>
      </c>
      <c r="G16" s="245">
        <v>22.695</v>
      </c>
      <c r="H16" s="50">
        <v>180</v>
      </c>
      <c r="I16" s="49">
        <v>4085.1</v>
      </c>
      <c r="J16" s="371">
        <v>-850.50000000000045</v>
      </c>
      <c r="K16" s="357">
        <v>-0.20819563780568412</v>
      </c>
      <c r="L16" s="49">
        <v>-850.50000000000045</v>
      </c>
      <c r="M16">
        <v>80</v>
      </c>
      <c r="N16" s="368" t="str">
        <f t="shared" si="0"/>
        <v>Link</v>
      </c>
      <c r="O16" s="357">
        <v>4.24E-2</v>
      </c>
      <c r="P16" s="357">
        <v>4.7199999999999999E-2</v>
      </c>
      <c r="Q16" s="149"/>
      <c r="T16" s="49"/>
    </row>
    <row r="17" spans="1:22" ht="21.95" customHeight="1" x14ac:dyDescent="0.25">
      <c r="A17" s="61"/>
      <c r="B17" s="62"/>
      <c r="C17" s="61"/>
      <c r="E17" s="23" t="s">
        <v>753</v>
      </c>
      <c r="F17" s="245">
        <v>156.88</v>
      </c>
      <c r="G17" s="245">
        <v>150.92500000000001</v>
      </c>
      <c r="H17" s="333">
        <v>20</v>
      </c>
      <c r="I17" s="49">
        <v>3018.5</v>
      </c>
      <c r="J17" s="371">
        <v>119.09999999999991</v>
      </c>
      <c r="K17" s="357">
        <v>3.9456683783335986E-2</v>
      </c>
      <c r="L17" s="371">
        <v>119.09999999999991</v>
      </c>
      <c r="M17">
        <v>20</v>
      </c>
      <c r="N17" s="368" t="str">
        <f t="shared" si="0"/>
        <v>Link</v>
      </c>
      <c r="O17" s="367">
        <v>3.187149413564508E-3</v>
      </c>
      <c r="P17" s="367">
        <v>-6.4999999999999997E-3</v>
      </c>
      <c r="R17" s="49"/>
      <c r="S17" s="49"/>
    </row>
    <row r="18" spans="1:22" ht="21.95" customHeight="1" x14ac:dyDescent="0.25">
      <c r="A18" s="51"/>
      <c r="B18" s="51"/>
      <c r="C18" s="52"/>
      <c r="E18" s="23" t="s">
        <v>767</v>
      </c>
      <c r="F18" s="245">
        <v>70.16</v>
      </c>
      <c r="G18" s="245">
        <v>69.680000000000007</v>
      </c>
      <c r="H18" s="333">
        <v>40</v>
      </c>
      <c r="I18" s="49">
        <v>2787.2000000000003</v>
      </c>
      <c r="J18" s="371">
        <v>19.199999999999363</v>
      </c>
      <c r="K18" s="357">
        <v>6.8886337543052484E-3</v>
      </c>
      <c r="L18" s="371">
        <v>19.199999999999363</v>
      </c>
      <c r="M18" s="30">
        <v>42993</v>
      </c>
      <c r="N18" s="368" t="str">
        <f t="shared" si="0"/>
        <v>Link</v>
      </c>
      <c r="O18" s="367">
        <v>1.78E-2</v>
      </c>
      <c r="P18" s="367">
        <v>7.7999999999999996E-3</v>
      </c>
      <c r="Q18" s="149"/>
      <c r="R18" s="49"/>
      <c r="S18" s="49"/>
      <c r="T18" s="49"/>
    </row>
    <row r="19" spans="1:22" ht="21.95" customHeight="1" x14ac:dyDescent="0.25">
      <c r="A19" s="51"/>
      <c r="B19" s="51"/>
      <c r="C19" s="52"/>
      <c r="E19" s="23" t="s">
        <v>253</v>
      </c>
      <c r="F19" s="245">
        <v>46.34</v>
      </c>
      <c r="G19" s="245">
        <v>45.4</v>
      </c>
      <c r="H19" s="333">
        <v>60</v>
      </c>
      <c r="I19" s="49">
        <v>2724</v>
      </c>
      <c r="J19" s="371">
        <v>56.400000000000091</v>
      </c>
      <c r="K19" s="357">
        <v>2.0704845814978081E-2</v>
      </c>
      <c r="L19" s="371">
        <v>149.05000000000018</v>
      </c>
      <c r="M19" s="30">
        <v>42975</v>
      </c>
      <c r="N19" s="368" t="str">
        <f t="shared" si="0"/>
        <v>Link</v>
      </c>
      <c r="O19" s="367">
        <v>0</v>
      </c>
      <c r="P19" s="367">
        <v>-1.03E-2</v>
      </c>
      <c r="R19" s="49"/>
      <c r="S19" s="49"/>
      <c r="T19" s="49"/>
    </row>
    <row r="20" spans="1:22" ht="21.95" customHeight="1" x14ac:dyDescent="0.25">
      <c r="A20" s="51"/>
      <c r="B20" s="52"/>
      <c r="C20" s="52"/>
      <c r="E20" s="23" t="s">
        <v>10</v>
      </c>
      <c r="F20" s="245">
        <v>37.5</v>
      </c>
      <c r="G20" s="245">
        <v>37.5</v>
      </c>
      <c r="H20" s="333">
        <v>0</v>
      </c>
      <c r="I20" s="49">
        <v>0</v>
      </c>
      <c r="J20" s="371">
        <v>0</v>
      </c>
      <c r="K20" s="357">
        <v>0</v>
      </c>
      <c r="L20" s="371">
        <v>1128.3800000000047</v>
      </c>
      <c r="M20">
        <v>0</v>
      </c>
      <c r="N20" s="368" t="str">
        <f t="shared" si="0"/>
        <v>Link</v>
      </c>
      <c r="O20" s="367">
        <v>1.2500000000000001E-2</v>
      </c>
      <c r="P20" s="367">
        <v>8.3000000000000001E-3</v>
      </c>
      <c r="Q20" s="149"/>
      <c r="R20" s="49"/>
    </row>
    <row r="21" spans="1:22" ht="21.95" customHeight="1" x14ac:dyDescent="0.25">
      <c r="A21" s="51"/>
      <c r="B21" s="51"/>
      <c r="C21" s="52"/>
      <c r="E21" s="23" t="s">
        <v>204</v>
      </c>
      <c r="F21" s="245">
        <v>161.6</v>
      </c>
      <c r="G21" s="245">
        <v>161.6</v>
      </c>
      <c r="H21" s="333">
        <v>0</v>
      </c>
      <c r="I21" s="49">
        <v>0</v>
      </c>
      <c r="J21" s="371">
        <v>0</v>
      </c>
      <c r="K21" s="357">
        <v>0</v>
      </c>
      <c r="L21" s="371">
        <v>363.09999999999945</v>
      </c>
      <c r="M21">
        <v>0</v>
      </c>
      <c r="N21" s="368" t="str">
        <f t="shared" si="0"/>
        <v>Link</v>
      </c>
      <c r="O21" s="367">
        <v>1.5900000000000001E-2</v>
      </c>
      <c r="P21" s="367">
        <v>1.09E-2</v>
      </c>
      <c r="Q21" s="444"/>
      <c r="R21" s="49"/>
      <c r="S21" s="49"/>
      <c r="U21" s="49"/>
    </row>
    <row r="22" spans="1:22" ht="21.95" customHeight="1" x14ac:dyDescent="0.25">
      <c r="A22" s="52"/>
      <c r="B22" s="52"/>
      <c r="C22" s="52"/>
      <c r="E22" s="23" t="s">
        <v>45</v>
      </c>
      <c r="F22" s="245">
        <v>94.38</v>
      </c>
      <c r="G22" s="245">
        <v>94.38</v>
      </c>
      <c r="H22" s="333">
        <v>0</v>
      </c>
      <c r="I22" s="49">
        <v>0</v>
      </c>
      <c r="J22" s="371">
        <v>0</v>
      </c>
      <c r="K22" s="357">
        <v>0</v>
      </c>
      <c r="L22" s="371">
        <v>523.61999999999898</v>
      </c>
      <c r="M22">
        <v>0</v>
      </c>
      <c r="N22" s="368" t="str">
        <f t="shared" si="0"/>
        <v>Link</v>
      </c>
      <c r="O22" s="367">
        <v>1.67E-2</v>
      </c>
      <c r="P22" s="367">
        <v>-4.0000000000000002E-4</v>
      </c>
      <c r="R22" s="49"/>
      <c r="S22" s="49"/>
      <c r="T22" s="49"/>
    </row>
    <row r="23" spans="1:22" ht="21.95" customHeight="1" x14ac:dyDescent="0.25">
      <c r="A23" s="51"/>
      <c r="B23" s="52"/>
      <c r="C23" s="52"/>
      <c r="E23" s="23" t="s">
        <v>340</v>
      </c>
      <c r="F23" s="245">
        <v>18.43</v>
      </c>
      <c r="G23" s="245">
        <v>18.43</v>
      </c>
      <c r="H23" s="333">
        <v>0</v>
      </c>
      <c r="I23" s="49">
        <v>0</v>
      </c>
      <c r="J23" s="371">
        <v>0</v>
      </c>
      <c r="K23" s="357">
        <v>0</v>
      </c>
      <c r="L23" s="371">
        <v>1283.4199999999946</v>
      </c>
      <c r="M23">
        <v>0</v>
      </c>
      <c r="N23" s="368" t="str">
        <f t="shared" si="0"/>
        <v>Link</v>
      </c>
      <c r="O23" s="367">
        <v>0</v>
      </c>
      <c r="P23" s="367">
        <v>-3.6600000000000001E-2</v>
      </c>
      <c r="R23" s="49"/>
      <c r="S23" s="49"/>
      <c r="T23" s="49"/>
    </row>
    <row r="24" spans="1:22" ht="21.95" customHeight="1" x14ac:dyDescent="0.25">
      <c r="A24" s="51"/>
      <c r="B24" s="52"/>
      <c r="C24" s="52"/>
      <c r="E24" s="23" t="s">
        <v>743</v>
      </c>
      <c r="F24" s="245">
        <v>24.75</v>
      </c>
      <c r="G24" s="245">
        <v>24.75</v>
      </c>
      <c r="H24" s="50">
        <v>0</v>
      </c>
      <c r="I24" s="49">
        <v>0</v>
      </c>
      <c r="J24" s="371">
        <v>0</v>
      </c>
      <c r="K24" s="357">
        <v>0</v>
      </c>
      <c r="L24" s="49">
        <v>309.26000000000022</v>
      </c>
      <c r="M24">
        <v>0</v>
      </c>
      <c r="N24" s="368" t="str">
        <f t="shared" si="0"/>
        <v>Link</v>
      </c>
      <c r="O24" s="357">
        <v>8.8000000000000005E-3</v>
      </c>
      <c r="P24" s="357">
        <v>7.7000000000000002E-3</v>
      </c>
      <c r="Q24" s="149"/>
      <c r="R24" s="49"/>
      <c r="S24" s="49"/>
    </row>
    <row r="25" spans="1:22" ht="21.95" customHeight="1" x14ac:dyDescent="0.25">
      <c r="A25" s="52"/>
      <c r="B25" s="156"/>
      <c r="C25" s="334"/>
      <c r="E25" s="23" t="s">
        <v>33</v>
      </c>
      <c r="F25" s="245">
        <v>253.69</v>
      </c>
      <c r="G25" s="245">
        <v>253.69</v>
      </c>
      <c r="H25" s="333">
        <v>0</v>
      </c>
      <c r="I25" s="49">
        <v>0</v>
      </c>
      <c r="J25" s="371">
        <v>0</v>
      </c>
      <c r="K25" s="357">
        <v>0</v>
      </c>
      <c r="L25" s="371">
        <v>780.73999999999796</v>
      </c>
      <c r="M25">
        <v>0</v>
      </c>
      <c r="N25" s="368" t="str">
        <f t="shared" si="0"/>
        <v>Link</v>
      </c>
      <c r="O25" s="367">
        <v>1.8599999999999998E-2</v>
      </c>
      <c r="P25" s="367">
        <v>1.11E-2</v>
      </c>
      <c r="R25" s="49"/>
    </row>
    <row r="26" spans="1:22" ht="21.95" customHeight="1" x14ac:dyDescent="0.25">
      <c r="A26" s="52"/>
      <c r="B26" s="52"/>
      <c r="C26" s="52"/>
      <c r="E26" s="23" t="s">
        <v>227</v>
      </c>
      <c r="F26" s="245">
        <v>86.79</v>
      </c>
      <c r="G26" s="245">
        <v>86.79</v>
      </c>
      <c r="H26" s="333">
        <v>0</v>
      </c>
      <c r="I26" s="49">
        <v>0</v>
      </c>
      <c r="J26" s="371">
        <v>0</v>
      </c>
      <c r="K26" s="357">
        <v>0</v>
      </c>
      <c r="L26" s="371">
        <v>231.53999999999996</v>
      </c>
      <c r="M26">
        <v>0</v>
      </c>
      <c r="N26" s="368" t="str">
        <f t="shared" si="0"/>
        <v>Link</v>
      </c>
      <c r="O26" s="367">
        <v>1.6199999999999999E-2</v>
      </c>
      <c r="P26" s="367">
        <v>1.54E-2</v>
      </c>
      <c r="Q26" s="444"/>
      <c r="R26" s="49"/>
      <c r="S26" s="49"/>
      <c r="T26" s="49"/>
      <c r="V26" s="49"/>
    </row>
    <row r="27" spans="1:22" ht="21.95" customHeight="1" x14ac:dyDescent="0.25">
      <c r="A27" s="51"/>
      <c r="B27" s="51"/>
      <c r="C27" s="52"/>
      <c r="E27" s="23" t="s">
        <v>62</v>
      </c>
      <c r="F27" s="245">
        <v>287.92</v>
      </c>
      <c r="G27" s="245">
        <v>287.92</v>
      </c>
      <c r="H27" s="333">
        <v>0</v>
      </c>
      <c r="I27" s="49">
        <v>0</v>
      </c>
      <c r="J27" s="371">
        <v>0</v>
      </c>
      <c r="K27" s="357">
        <v>0</v>
      </c>
      <c r="L27" s="371">
        <v>1659.3600000000079</v>
      </c>
      <c r="M27">
        <v>0</v>
      </c>
      <c r="N27" s="368" t="str">
        <f t="shared" si="0"/>
        <v>Link</v>
      </c>
      <c r="O27" s="367">
        <v>0</v>
      </c>
      <c r="P27" s="367">
        <v>6.4999999999999997E-3</v>
      </c>
      <c r="T27" s="49"/>
    </row>
    <row r="28" spans="1:22" ht="21.95" customHeight="1" x14ac:dyDescent="0.25">
      <c r="A28" s="51"/>
      <c r="B28" s="51"/>
      <c r="C28" s="52"/>
      <c r="E28" s="23" t="s">
        <v>309</v>
      </c>
      <c r="F28" s="245">
        <v>57.87</v>
      </c>
      <c r="G28" s="245">
        <v>57.87</v>
      </c>
      <c r="H28" s="333">
        <v>0</v>
      </c>
      <c r="I28" s="49">
        <v>0</v>
      </c>
      <c r="J28" s="371">
        <v>0</v>
      </c>
      <c r="K28" s="357">
        <v>0</v>
      </c>
      <c r="L28" s="371">
        <v>910.79999999999927</v>
      </c>
      <c r="M28">
        <v>0</v>
      </c>
      <c r="N28" s="368" t="str">
        <f t="shared" si="0"/>
        <v>Link</v>
      </c>
      <c r="O28" s="367">
        <v>2.87E-2</v>
      </c>
      <c r="P28" s="367">
        <v>4.3E-3</v>
      </c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52</v>
      </c>
      <c r="F29" s="245">
        <v>66.430000000000007</v>
      </c>
      <c r="G29" s="245">
        <v>66.430000000000007</v>
      </c>
      <c r="H29" s="333">
        <v>0</v>
      </c>
      <c r="I29" s="49">
        <v>0</v>
      </c>
      <c r="J29" s="371">
        <v>0</v>
      </c>
      <c r="K29" s="357">
        <v>0</v>
      </c>
      <c r="L29" s="371">
        <v>1056.739999999998</v>
      </c>
      <c r="M29">
        <v>0</v>
      </c>
      <c r="N29" s="368" t="str">
        <f t="shared" si="0"/>
        <v>Link</v>
      </c>
      <c r="O29" s="367">
        <v>2.1999999999999999E-2</v>
      </c>
      <c r="P29" s="367">
        <v>-4.8999999999999998E-3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327</v>
      </c>
      <c r="F30" s="245">
        <v>43.74</v>
      </c>
      <c r="G30" s="245">
        <v>43.74</v>
      </c>
      <c r="H30" s="50">
        <v>0</v>
      </c>
      <c r="I30" s="49">
        <v>0</v>
      </c>
      <c r="J30" s="371">
        <v>0</v>
      </c>
      <c r="K30" s="357">
        <v>0</v>
      </c>
      <c r="L30" s="49">
        <v>264.92000000000007</v>
      </c>
      <c r="M30">
        <v>0</v>
      </c>
      <c r="N30" s="368" t="str">
        <f t="shared" si="0"/>
        <v>Link</v>
      </c>
      <c r="O30" s="357">
        <v>3.4200000000000001E-2</v>
      </c>
      <c r="P30" s="357">
        <v>2.8E-3</v>
      </c>
      <c r="Q30" s="49"/>
      <c r="R30" s="49"/>
      <c r="S30" s="49"/>
      <c r="T30" s="49"/>
    </row>
    <row r="31" spans="1:22" ht="21.95" customHeight="1" x14ac:dyDescent="0.25">
      <c r="A31" s="52"/>
      <c r="B31" s="52"/>
      <c r="C31" s="52"/>
      <c r="E31" s="23" t="s">
        <v>8</v>
      </c>
      <c r="F31" s="245">
        <v>80.11</v>
      </c>
      <c r="G31" s="245">
        <v>80.11</v>
      </c>
      <c r="H31" s="333">
        <v>0</v>
      </c>
      <c r="I31" s="49">
        <v>0</v>
      </c>
      <c r="J31" s="371">
        <v>0</v>
      </c>
      <c r="K31" s="357">
        <v>0</v>
      </c>
      <c r="L31" s="371">
        <v>121.94999999999982</v>
      </c>
      <c r="M31">
        <v>0</v>
      </c>
      <c r="N31" s="368" t="str">
        <f t="shared" si="0"/>
        <v>Link</v>
      </c>
      <c r="O31" s="367">
        <v>1.67E-2</v>
      </c>
      <c r="P31" s="367">
        <v>-3.2000000000000002E-3</v>
      </c>
      <c r="R31" s="49"/>
      <c r="S31" s="49"/>
    </row>
    <row r="32" spans="1:22" ht="21.95" customHeight="1" x14ac:dyDescent="0.25">
      <c r="A32" s="51"/>
      <c r="B32" s="51"/>
      <c r="C32" s="52"/>
      <c r="E32" s="23" t="s">
        <v>283</v>
      </c>
      <c r="F32" s="245">
        <v>79.11</v>
      </c>
      <c r="G32" s="245">
        <v>79.11</v>
      </c>
      <c r="H32" s="50">
        <v>0</v>
      </c>
      <c r="I32" s="49">
        <v>0</v>
      </c>
      <c r="J32" s="371">
        <v>0</v>
      </c>
      <c r="K32" s="357">
        <v>0</v>
      </c>
      <c r="L32" s="49">
        <v>197.20999999999549</v>
      </c>
      <c r="M32">
        <v>0</v>
      </c>
      <c r="N32" s="368" t="str">
        <f t="shared" si="0"/>
        <v>Link</v>
      </c>
      <c r="O32" s="357">
        <v>2.5499999999999998E-2</v>
      </c>
      <c r="P32" s="357">
        <v>-2.3999999999999998E-3</v>
      </c>
      <c r="S32" s="49"/>
      <c r="T32" s="49"/>
    </row>
    <row r="33" spans="1:22" ht="21.95" customHeight="1" x14ac:dyDescent="0.25">
      <c r="A33" s="52"/>
      <c r="B33" s="52"/>
      <c r="C33" s="52"/>
      <c r="E33" s="23" t="s">
        <v>32</v>
      </c>
      <c r="F33" s="245">
        <v>49.92</v>
      </c>
      <c r="G33" s="245">
        <v>49.92</v>
      </c>
      <c r="H33" s="333">
        <v>0</v>
      </c>
      <c r="I33" s="49">
        <v>0</v>
      </c>
      <c r="J33" s="371">
        <v>0</v>
      </c>
      <c r="K33" s="357">
        <v>0</v>
      </c>
      <c r="L33" s="371">
        <v>1198.4699999999971</v>
      </c>
      <c r="M33">
        <v>0</v>
      </c>
      <c r="N33" s="368" t="str">
        <f t="shared" si="0"/>
        <v>Link</v>
      </c>
      <c r="O33" s="367">
        <v>1.7600000000000001E-2</v>
      </c>
      <c r="P33" s="367">
        <v>-3.0000000000000001E-3</v>
      </c>
      <c r="R33" s="49"/>
      <c r="T33" s="49"/>
    </row>
    <row r="34" spans="1:22" ht="21.95" customHeight="1" x14ac:dyDescent="0.25">
      <c r="A34" s="51"/>
      <c r="B34" s="51"/>
      <c r="C34" s="52"/>
      <c r="E34" s="23" t="s">
        <v>63</v>
      </c>
      <c r="F34" s="245">
        <v>101.51</v>
      </c>
      <c r="G34" s="245">
        <v>101.51</v>
      </c>
      <c r="H34" s="333">
        <v>0</v>
      </c>
      <c r="I34" s="49">
        <v>0</v>
      </c>
      <c r="J34" s="371">
        <v>0</v>
      </c>
      <c r="K34" s="357">
        <v>0</v>
      </c>
      <c r="L34" s="371">
        <v>257.30999999999949</v>
      </c>
      <c r="M34">
        <v>0</v>
      </c>
      <c r="N34" s="368" t="str">
        <f t="shared" ref="N34:N60" si="1">HYPERLINK("http://finance.yahoo.com/q?s=" &amp; E34, "Link")</f>
        <v>Link</v>
      </c>
      <c r="O34" s="367">
        <v>1.38E-2</v>
      </c>
      <c r="P34" s="367">
        <v>1.1000000000000001E-3</v>
      </c>
      <c r="R34" s="49"/>
      <c r="S34" s="49"/>
    </row>
    <row r="35" spans="1:22" ht="21.95" customHeight="1" x14ac:dyDescent="0.25">
      <c r="A35" s="51"/>
      <c r="B35" s="51"/>
      <c r="C35" s="52"/>
      <c r="E35" s="23" t="s">
        <v>319</v>
      </c>
      <c r="F35" s="245">
        <v>114.83</v>
      </c>
      <c r="G35" s="245">
        <v>114.83</v>
      </c>
      <c r="H35" s="333">
        <v>0</v>
      </c>
      <c r="I35" s="49">
        <v>0</v>
      </c>
      <c r="J35" s="371">
        <v>0</v>
      </c>
      <c r="K35" s="357">
        <v>0</v>
      </c>
      <c r="L35" s="371">
        <v>720.56000000000131</v>
      </c>
      <c r="M35">
        <v>0</v>
      </c>
      <c r="N35" s="368" t="str">
        <f t="shared" si="1"/>
        <v>Link</v>
      </c>
      <c r="O35" s="367">
        <v>0</v>
      </c>
      <c r="P35" s="367">
        <v>-7.0000000000000001E-3</v>
      </c>
    </row>
    <row r="36" spans="1:22" ht="21.95" customHeight="1" x14ac:dyDescent="0.25">
      <c r="A36" s="52"/>
      <c r="B36" s="51"/>
      <c r="C36" s="52"/>
      <c r="E36" s="23" t="s">
        <v>198</v>
      </c>
      <c r="F36" s="245">
        <v>10.84</v>
      </c>
      <c r="G36" s="245">
        <v>10.84</v>
      </c>
      <c r="H36" s="333">
        <v>0</v>
      </c>
      <c r="I36" s="49">
        <v>0</v>
      </c>
      <c r="J36" s="371">
        <v>0</v>
      </c>
      <c r="K36" s="357">
        <v>0</v>
      </c>
      <c r="L36" s="371">
        <v>251.26000000000022</v>
      </c>
      <c r="M36">
        <v>0</v>
      </c>
      <c r="N36" s="368" t="str">
        <f t="shared" si="1"/>
        <v>Link</v>
      </c>
      <c r="O36" s="367">
        <v>5.1499999999999997E-2</v>
      </c>
      <c r="P36" s="367">
        <v>-6.4000000000000003E-3</v>
      </c>
      <c r="Q36" s="444"/>
      <c r="R36" s="49"/>
      <c r="S36" s="49"/>
    </row>
    <row r="37" spans="1:22" ht="21.95" customHeight="1" x14ac:dyDescent="0.25">
      <c r="A37" s="51"/>
      <c r="B37" s="51"/>
      <c r="C37" s="52"/>
      <c r="E37" s="23" t="s">
        <v>274</v>
      </c>
      <c r="F37" s="245">
        <v>27.85</v>
      </c>
      <c r="G37" s="245">
        <v>27.85</v>
      </c>
      <c r="H37" s="50">
        <v>0</v>
      </c>
      <c r="I37" s="49">
        <v>0</v>
      </c>
      <c r="J37" s="372">
        <v>0</v>
      </c>
      <c r="K37" s="135">
        <v>0</v>
      </c>
      <c r="L37" s="49">
        <v>98.449999999999818</v>
      </c>
      <c r="M37">
        <v>0</v>
      </c>
      <c r="N37" s="368" t="str">
        <f t="shared" si="1"/>
        <v>Link</v>
      </c>
      <c r="O37" s="357">
        <v>1.11E-2</v>
      </c>
      <c r="P37" s="357">
        <v>-1.2800000000000001E-2</v>
      </c>
      <c r="Q37" s="444"/>
      <c r="R37" s="49"/>
      <c r="S37" s="49"/>
      <c r="T37" s="49"/>
    </row>
    <row r="38" spans="1:22" ht="21.95" customHeight="1" x14ac:dyDescent="0.25">
      <c r="A38" s="52"/>
      <c r="B38" s="52"/>
      <c r="C38" s="52"/>
      <c r="E38" s="23" t="s">
        <v>56</v>
      </c>
      <c r="F38" s="245">
        <v>35.54</v>
      </c>
      <c r="G38" s="245">
        <v>35.54</v>
      </c>
      <c r="H38" s="333">
        <v>0</v>
      </c>
      <c r="I38" s="49">
        <v>0</v>
      </c>
      <c r="J38" s="371">
        <v>0</v>
      </c>
      <c r="K38" s="357">
        <v>0</v>
      </c>
      <c r="L38" s="371">
        <v>36.819999999999709</v>
      </c>
      <c r="M38">
        <v>0</v>
      </c>
      <c r="N38" s="368" t="str">
        <f t="shared" si="1"/>
        <v>Link</v>
      </c>
      <c r="O38" s="367">
        <v>4.2999999999999997E-2</v>
      </c>
      <c r="P38" s="367">
        <v>2E-3</v>
      </c>
      <c r="Q38" s="49"/>
      <c r="R38" s="49"/>
      <c r="S38" s="49"/>
      <c r="T38" s="49"/>
      <c r="V38" s="49"/>
    </row>
    <row r="39" spans="1:22" ht="21.95" customHeight="1" x14ac:dyDescent="0.25">
      <c r="A39" s="51"/>
      <c r="B39" s="51"/>
      <c r="C39" s="52"/>
      <c r="E39" s="23" t="s">
        <v>22</v>
      </c>
      <c r="F39" s="245">
        <v>40.700000000000003</v>
      </c>
      <c r="G39" s="245">
        <v>40.700000000000003</v>
      </c>
      <c r="H39" s="333">
        <v>0</v>
      </c>
      <c r="I39" s="49">
        <v>0</v>
      </c>
      <c r="J39" s="371">
        <v>0</v>
      </c>
      <c r="K39" s="357">
        <v>0</v>
      </c>
      <c r="L39" s="371">
        <v>3178.8000000000466</v>
      </c>
      <c r="M39">
        <v>0</v>
      </c>
      <c r="N39" s="368" t="str">
        <f t="shared" si="1"/>
        <v>Link</v>
      </c>
      <c r="O39" s="367">
        <v>2.07E-2</v>
      </c>
      <c r="P39" s="367">
        <v>3.8999999999999998E-3</v>
      </c>
      <c r="Q39" s="149"/>
      <c r="S39" s="49"/>
    </row>
    <row r="40" spans="1:22" ht="21.95" customHeight="1" x14ac:dyDescent="0.25">
      <c r="A40" s="51"/>
      <c r="B40" s="51"/>
      <c r="C40" s="52"/>
      <c r="E40" s="23" t="s">
        <v>27</v>
      </c>
      <c r="F40" s="245">
        <v>36</v>
      </c>
      <c r="G40" s="245">
        <v>36</v>
      </c>
      <c r="H40" s="50">
        <v>0</v>
      </c>
      <c r="I40" s="49">
        <v>0</v>
      </c>
      <c r="J40" s="371">
        <v>0</v>
      </c>
      <c r="K40" s="357">
        <v>0</v>
      </c>
      <c r="L40" s="49">
        <v>1407.5400000000009</v>
      </c>
      <c r="M40">
        <v>0</v>
      </c>
      <c r="N40" s="368" t="str">
        <f t="shared" si="1"/>
        <v>Link</v>
      </c>
      <c r="O40" s="357">
        <v>3.0200000000000001E-2</v>
      </c>
      <c r="P40" s="357">
        <v>-9.4000000000000004E-3</v>
      </c>
      <c r="Q40" s="149"/>
      <c r="R40" s="49"/>
      <c r="S40" s="49"/>
    </row>
    <row r="41" spans="1:22" ht="21.95" customHeight="1" x14ac:dyDescent="0.25">
      <c r="A41" s="51"/>
      <c r="B41" s="51"/>
      <c r="C41" s="52"/>
      <c r="E41" s="23" t="s">
        <v>172</v>
      </c>
      <c r="F41" s="245">
        <v>53.43</v>
      </c>
      <c r="G41" s="245">
        <v>53.43</v>
      </c>
      <c r="H41" s="333">
        <v>0</v>
      </c>
      <c r="I41" s="49">
        <v>0</v>
      </c>
      <c r="J41" s="371">
        <v>0</v>
      </c>
      <c r="K41" s="357">
        <v>0</v>
      </c>
      <c r="L41" s="371">
        <v>119.92000000000053</v>
      </c>
      <c r="M41">
        <v>0</v>
      </c>
      <c r="N41" s="368" t="str">
        <f t="shared" si="1"/>
        <v>Link</v>
      </c>
      <c r="O41" s="367">
        <v>3.6400000000000002E-2</v>
      </c>
      <c r="P41" s="367">
        <v>-3.8999999999999998E-3</v>
      </c>
      <c r="Q41" s="149"/>
      <c r="R41" s="49"/>
      <c r="S41" s="49"/>
    </row>
    <row r="42" spans="1:22" ht="21.95" customHeight="1" x14ac:dyDescent="0.25">
      <c r="A42" s="51"/>
      <c r="B42" s="51"/>
      <c r="C42" s="52"/>
      <c r="E42" s="23" t="s">
        <v>277</v>
      </c>
      <c r="F42" s="245">
        <v>133.38</v>
      </c>
      <c r="G42" s="245">
        <v>133.38</v>
      </c>
      <c r="H42" s="333">
        <v>0</v>
      </c>
      <c r="I42" s="49">
        <v>0</v>
      </c>
      <c r="J42" s="371">
        <v>0</v>
      </c>
      <c r="K42" s="357">
        <v>0</v>
      </c>
      <c r="L42" s="371">
        <v>154.77999999999975</v>
      </c>
      <c r="M42">
        <v>0</v>
      </c>
      <c r="N42" s="368" t="str">
        <f t="shared" si="1"/>
        <v>Link</v>
      </c>
      <c r="O42" s="367">
        <v>2.5700000000000001E-2</v>
      </c>
      <c r="P42" s="367">
        <v>-6.9999999999999999E-4</v>
      </c>
      <c r="Q42" s="149"/>
      <c r="R42" s="49"/>
      <c r="S42" s="49"/>
    </row>
    <row r="43" spans="1:22" ht="21.95" customHeight="1" x14ac:dyDescent="0.25">
      <c r="A43" s="51"/>
      <c r="B43" s="51"/>
      <c r="C43" s="52"/>
      <c r="E43" s="23" t="s">
        <v>24</v>
      </c>
      <c r="F43" s="245">
        <v>44.03</v>
      </c>
      <c r="G43" s="245">
        <v>44.03</v>
      </c>
      <c r="H43" s="333">
        <v>0</v>
      </c>
      <c r="I43" s="49">
        <v>0</v>
      </c>
      <c r="J43" s="371">
        <v>0</v>
      </c>
      <c r="K43" s="357">
        <v>0</v>
      </c>
      <c r="L43" s="371">
        <v>937.36999999999534</v>
      </c>
      <c r="M43">
        <v>0</v>
      </c>
      <c r="N43" s="368" t="str">
        <f t="shared" si="1"/>
        <v>Link</v>
      </c>
      <c r="O43" s="367">
        <v>0</v>
      </c>
      <c r="P43" s="367">
        <v>-2.1999999999999999E-2</v>
      </c>
      <c r="R43" s="49"/>
      <c r="S43" s="49"/>
    </row>
    <row r="44" spans="1:22" ht="21.95" customHeight="1" x14ac:dyDescent="0.25">
      <c r="A44" s="156"/>
      <c r="B44" s="51"/>
      <c r="C44" s="52"/>
      <c r="E44" s="23" t="s">
        <v>36</v>
      </c>
      <c r="F44" s="245">
        <v>55.2</v>
      </c>
      <c r="G44" s="245">
        <v>55.2</v>
      </c>
      <c r="H44" s="333">
        <v>0</v>
      </c>
      <c r="I44" s="49">
        <v>0</v>
      </c>
      <c r="J44" s="371">
        <v>0</v>
      </c>
      <c r="K44" s="357">
        <v>0</v>
      </c>
      <c r="L44" s="371">
        <v>117.73999999999978</v>
      </c>
      <c r="M44">
        <v>0</v>
      </c>
      <c r="N44" s="368" t="str">
        <f t="shared" si="1"/>
        <v>Link</v>
      </c>
      <c r="O44" s="367">
        <v>7.4000000000000003E-3</v>
      </c>
      <c r="P44" s="367">
        <v>8.8000000000000005E-3</v>
      </c>
      <c r="R44" s="49"/>
      <c r="S44" s="49"/>
      <c r="T44" s="49"/>
    </row>
    <row r="45" spans="1:22" ht="21.95" customHeight="1" x14ac:dyDescent="0.25">
      <c r="A45" s="52"/>
      <c r="B45" s="52"/>
      <c r="C45" s="52"/>
      <c r="E45" s="23" t="s">
        <v>205</v>
      </c>
      <c r="F45" s="245">
        <v>30.13</v>
      </c>
      <c r="G45" s="245">
        <v>30.13</v>
      </c>
      <c r="H45" s="50">
        <v>0</v>
      </c>
      <c r="I45" s="49">
        <v>0</v>
      </c>
      <c r="J45" s="371">
        <v>0</v>
      </c>
      <c r="K45" s="357">
        <v>0</v>
      </c>
      <c r="L45" s="49">
        <v>439.77999999999975</v>
      </c>
      <c r="M45">
        <v>0</v>
      </c>
      <c r="N45" s="368" t="str">
        <f t="shared" si="1"/>
        <v>Link</v>
      </c>
      <c r="O45" s="357">
        <v>0</v>
      </c>
      <c r="P45" s="357">
        <v>1.6899999999999998E-2</v>
      </c>
      <c r="Q45" s="49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275</v>
      </c>
      <c r="F46" s="245">
        <v>57.45</v>
      </c>
      <c r="G46" s="245">
        <v>57.45</v>
      </c>
      <c r="H46" s="333">
        <v>0</v>
      </c>
      <c r="I46" s="49">
        <v>0</v>
      </c>
      <c r="J46" s="371">
        <v>0</v>
      </c>
      <c r="K46" s="357">
        <v>0</v>
      </c>
      <c r="L46" s="371">
        <v>427.92000000000007</v>
      </c>
      <c r="M46">
        <v>0</v>
      </c>
      <c r="N46" s="368" t="str">
        <f t="shared" si="1"/>
        <v>Link</v>
      </c>
      <c r="O46" s="367">
        <v>0</v>
      </c>
      <c r="P46" s="367">
        <v>-2.0000000000000001E-4</v>
      </c>
      <c r="Q46" s="49"/>
      <c r="R46" s="49"/>
      <c r="U46" s="49"/>
    </row>
    <row r="47" spans="1:22" ht="21.95" customHeight="1" x14ac:dyDescent="0.25">
      <c r="A47" s="52"/>
      <c r="B47" s="156"/>
      <c r="C47" s="334"/>
      <c r="E47" s="23" t="s">
        <v>196</v>
      </c>
      <c r="F47" s="245">
        <v>58.56</v>
      </c>
      <c r="G47" s="245">
        <v>58.56</v>
      </c>
      <c r="H47" s="333">
        <v>0</v>
      </c>
      <c r="I47" s="49">
        <v>0</v>
      </c>
      <c r="J47" s="371">
        <v>0</v>
      </c>
      <c r="K47" s="357">
        <v>0</v>
      </c>
      <c r="L47" s="371">
        <v>785.90999999999985</v>
      </c>
      <c r="M47">
        <v>0</v>
      </c>
      <c r="N47" s="368" t="str">
        <f t="shared" si="1"/>
        <v>Link</v>
      </c>
      <c r="O47" s="367">
        <v>1.29E-2</v>
      </c>
      <c r="P47" s="367">
        <v>-2.0400000000000001E-2</v>
      </c>
      <c r="Q47" s="149"/>
      <c r="R47" s="49"/>
      <c r="S47" s="49"/>
      <c r="T47" s="49"/>
    </row>
    <row r="48" spans="1:22" ht="21.95" customHeight="1" x14ac:dyDescent="0.25">
      <c r="A48" s="51"/>
      <c r="B48" s="51"/>
      <c r="C48" s="51"/>
      <c r="E48" s="23" t="s">
        <v>47</v>
      </c>
      <c r="F48" s="245">
        <v>120.04</v>
      </c>
      <c r="G48" s="245">
        <v>120.04</v>
      </c>
      <c r="H48" s="333">
        <v>0</v>
      </c>
      <c r="I48" s="49">
        <v>0</v>
      </c>
      <c r="J48" s="371">
        <v>0</v>
      </c>
      <c r="K48" s="357">
        <v>0</v>
      </c>
      <c r="L48" s="371">
        <v>-168.6200000000008</v>
      </c>
      <c r="M48">
        <v>0</v>
      </c>
      <c r="N48" s="368" t="str">
        <f t="shared" si="1"/>
        <v>Link</v>
      </c>
      <c r="O48" s="367">
        <v>2.18E-2</v>
      </c>
      <c r="P48" s="367">
        <v>4.1000000000000003E-3</v>
      </c>
      <c r="S48" s="49"/>
    </row>
    <row r="49" spans="1:21" ht="21.95" customHeight="1" x14ac:dyDescent="0.25">
      <c r="A49" s="51"/>
      <c r="B49" s="51"/>
      <c r="C49" s="52"/>
      <c r="E49" s="23" t="s">
        <v>174</v>
      </c>
      <c r="F49" s="245">
        <v>50.21</v>
      </c>
      <c r="G49" s="245">
        <v>50.21</v>
      </c>
      <c r="H49" s="333">
        <v>0</v>
      </c>
      <c r="I49" s="49">
        <v>0</v>
      </c>
      <c r="J49" s="371">
        <v>0</v>
      </c>
      <c r="K49" s="357">
        <v>0</v>
      </c>
      <c r="L49" s="371">
        <v>75.019999999999982</v>
      </c>
      <c r="M49">
        <v>0</v>
      </c>
      <c r="N49" s="368" t="str">
        <f t="shared" si="1"/>
        <v>Link</v>
      </c>
      <c r="O49" s="367">
        <v>1.61E-2</v>
      </c>
      <c r="P49" s="367">
        <v>2.2000000000000001E-3</v>
      </c>
      <c r="Q49" s="444"/>
      <c r="R49" s="49"/>
      <c r="S49" s="49"/>
      <c r="T49" s="49"/>
    </row>
    <row r="50" spans="1:21" ht="21.95" customHeight="1" x14ac:dyDescent="0.25">
      <c r="A50" s="51"/>
      <c r="B50" s="51"/>
      <c r="C50" s="52"/>
      <c r="E50" s="23" t="s">
        <v>23</v>
      </c>
      <c r="F50" s="245">
        <v>33.65</v>
      </c>
      <c r="G50" s="245">
        <v>33.65</v>
      </c>
      <c r="H50" s="333">
        <v>0</v>
      </c>
      <c r="I50" s="49">
        <v>0</v>
      </c>
      <c r="J50" s="371">
        <v>0</v>
      </c>
      <c r="K50" s="357">
        <v>0</v>
      </c>
      <c r="L50" s="371">
        <v>171.89999999999964</v>
      </c>
      <c r="M50">
        <v>0</v>
      </c>
      <c r="N50" s="368" t="str">
        <f t="shared" si="1"/>
        <v>Link</v>
      </c>
      <c r="O50" s="367">
        <v>0</v>
      </c>
      <c r="P50" s="367">
        <v>-1.8E-3</v>
      </c>
      <c r="Q50" s="149"/>
      <c r="R50" s="49"/>
      <c r="S50" s="49"/>
    </row>
    <row r="51" spans="1:21" ht="21.95" customHeight="1" x14ac:dyDescent="0.25">
      <c r="A51" s="52"/>
      <c r="B51" s="52"/>
      <c r="C51" s="52"/>
      <c r="E51" s="23" t="s">
        <v>175</v>
      </c>
      <c r="F51" s="245">
        <v>246.51</v>
      </c>
      <c r="G51" s="245">
        <v>246.51</v>
      </c>
      <c r="H51" s="50">
        <v>0</v>
      </c>
      <c r="I51" s="49">
        <v>0</v>
      </c>
      <c r="J51" s="371">
        <v>0</v>
      </c>
      <c r="K51" s="357">
        <v>0</v>
      </c>
      <c r="L51" s="49">
        <v>160.82999999999993</v>
      </c>
      <c r="M51">
        <v>0</v>
      </c>
      <c r="N51" s="368" t="str">
        <f t="shared" si="1"/>
        <v>Link</v>
      </c>
      <c r="O51" s="357">
        <v>0</v>
      </c>
      <c r="P51" s="357">
        <v>-1E-4</v>
      </c>
      <c r="S51" s="49"/>
      <c r="T51" s="49"/>
    </row>
    <row r="52" spans="1:21" ht="21.95" customHeight="1" x14ac:dyDescent="0.25">
      <c r="A52" s="51"/>
      <c r="B52" s="52"/>
      <c r="C52" s="52"/>
      <c r="E52" s="23" t="s">
        <v>170</v>
      </c>
      <c r="F52" s="245">
        <v>105.8</v>
      </c>
      <c r="G52" s="245">
        <v>105.8</v>
      </c>
      <c r="H52" s="333">
        <v>0</v>
      </c>
      <c r="I52" s="49">
        <v>0</v>
      </c>
      <c r="J52" s="371">
        <v>0</v>
      </c>
      <c r="K52" s="357">
        <v>0</v>
      </c>
      <c r="L52" s="371">
        <v>1368.9000000000015</v>
      </c>
      <c r="M52">
        <v>0</v>
      </c>
      <c r="N52" s="368" t="str">
        <f t="shared" si="1"/>
        <v>Link</v>
      </c>
      <c r="O52" s="367">
        <v>1.14E-2</v>
      </c>
      <c r="P52" s="367">
        <v>3.0999999999999999E-3</v>
      </c>
      <c r="S52" s="49"/>
    </row>
    <row r="53" spans="1:21" ht="21.95" customHeight="1" x14ac:dyDescent="0.25">
      <c r="A53" s="51"/>
      <c r="B53" s="51"/>
      <c r="C53" s="52"/>
      <c r="E53" s="23" t="s">
        <v>39</v>
      </c>
      <c r="F53" s="245">
        <v>43.5</v>
      </c>
      <c r="G53" s="245">
        <v>43.5</v>
      </c>
      <c r="H53" s="50">
        <v>0</v>
      </c>
      <c r="I53" s="49">
        <v>0</v>
      </c>
      <c r="J53" s="371">
        <v>0</v>
      </c>
      <c r="K53" s="357">
        <v>0</v>
      </c>
      <c r="L53" s="49">
        <v>529.88000000000284</v>
      </c>
      <c r="M53">
        <v>0</v>
      </c>
      <c r="N53" s="368" t="str">
        <f t="shared" si="1"/>
        <v>Link</v>
      </c>
      <c r="O53" s="357">
        <v>2.3E-2</v>
      </c>
      <c r="P53" s="357">
        <v>-2.0299999999999999E-2</v>
      </c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0</v>
      </c>
      <c r="F54" s="245">
        <v>173.56</v>
      </c>
      <c r="G54" s="245">
        <v>173.56</v>
      </c>
      <c r="H54" s="50">
        <v>0</v>
      </c>
      <c r="I54" s="49">
        <v>0</v>
      </c>
      <c r="J54" s="371">
        <v>0</v>
      </c>
      <c r="K54" s="357">
        <v>0</v>
      </c>
      <c r="L54" s="49">
        <v>465.57999999999993</v>
      </c>
      <c r="M54">
        <v>0</v>
      </c>
      <c r="N54" s="368" t="str">
        <f t="shared" si="1"/>
        <v>Link</v>
      </c>
      <c r="O54" s="357">
        <v>3.8999999999999998E-3</v>
      </c>
      <c r="P54" s="357">
        <v>-2.7000000000000001E-3</v>
      </c>
      <c r="R54" s="49"/>
      <c r="S54" s="49"/>
    </row>
    <row r="55" spans="1:21" ht="21.95" customHeight="1" x14ac:dyDescent="0.25">
      <c r="A55" s="52"/>
      <c r="B55" s="52"/>
      <c r="C55" s="52"/>
      <c r="E55" s="23" t="s">
        <v>13</v>
      </c>
      <c r="F55" s="245">
        <v>66.959999999999994</v>
      </c>
      <c r="G55" s="50">
        <v>66.959999999999994</v>
      </c>
      <c r="H55" s="333">
        <v>0</v>
      </c>
      <c r="I55" s="49">
        <v>0</v>
      </c>
      <c r="J55" s="371">
        <v>0</v>
      </c>
      <c r="K55" s="357">
        <v>0</v>
      </c>
      <c r="L55" s="371">
        <v>1461.5600000000013</v>
      </c>
      <c r="M55">
        <v>0</v>
      </c>
      <c r="N55" s="368" t="str">
        <f t="shared" si="1"/>
        <v>Link</v>
      </c>
      <c r="O55" s="367">
        <v>0</v>
      </c>
      <c r="P55" s="367">
        <v>3.7000000000000002E-3</v>
      </c>
      <c r="Q55" s="49"/>
      <c r="S55" s="49"/>
    </row>
    <row r="56" spans="1:21" ht="21.95" customHeight="1" x14ac:dyDescent="0.25">
      <c r="A56" s="61"/>
      <c r="B56" s="62"/>
      <c r="C56" s="61"/>
      <c r="E56" s="23" t="s">
        <v>51</v>
      </c>
      <c r="F56" s="245">
        <v>194.5</v>
      </c>
      <c r="G56" s="245">
        <v>194.5</v>
      </c>
      <c r="H56" s="333">
        <v>0</v>
      </c>
      <c r="I56" s="49">
        <v>0</v>
      </c>
      <c r="J56" s="371">
        <v>0</v>
      </c>
      <c r="K56" s="357">
        <v>0</v>
      </c>
      <c r="L56" s="371">
        <v>176.70000000000073</v>
      </c>
      <c r="M56">
        <v>0</v>
      </c>
      <c r="N56" s="368" t="str">
        <f t="shared" si="1"/>
        <v>Link</v>
      </c>
      <c r="O56" s="367">
        <v>1.52E-2</v>
      </c>
      <c r="P56" s="367">
        <v>4.1000000000000003E-3</v>
      </c>
      <c r="Q56" s="149"/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42</v>
      </c>
      <c r="F57" s="245">
        <v>104.85</v>
      </c>
      <c r="G57" s="245">
        <v>104.85</v>
      </c>
      <c r="H57" s="50">
        <v>0</v>
      </c>
      <c r="I57" s="49">
        <v>0</v>
      </c>
      <c r="J57" s="371">
        <v>0</v>
      </c>
      <c r="K57" s="357">
        <v>0</v>
      </c>
      <c r="L57" s="49">
        <v>128.08999999999833</v>
      </c>
      <c r="M57">
        <v>0</v>
      </c>
      <c r="N57" s="368" t="str">
        <f t="shared" si="1"/>
        <v>Link</v>
      </c>
      <c r="O57" s="357">
        <v>2.18E-2</v>
      </c>
      <c r="P57" s="357">
        <v>1.1000000000000001E-3</v>
      </c>
      <c r="R57" s="49"/>
    </row>
    <row r="58" spans="1:21" ht="21.95" customHeight="1" x14ac:dyDescent="0.25">
      <c r="A58" s="51"/>
      <c r="B58" s="51"/>
      <c r="C58" s="52"/>
      <c r="E58" s="23" t="s">
        <v>54</v>
      </c>
      <c r="F58" s="245">
        <v>115.96</v>
      </c>
      <c r="G58" s="245">
        <v>115.96</v>
      </c>
      <c r="H58" s="333">
        <v>0</v>
      </c>
      <c r="I58" s="49">
        <v>0</v>
      </c>
      <c r="J58" s="371">
        <v>0</v>
      </c>
      <c r="K58" s="357">
        <v>0</v>
      </c>
      <c r="L58" s="371">
        <v>114.84999999999991</v>
      </c>
      <c r="M58">
        <v>0</v>
      </c>
      <c r="N58" s="368" t="str">
        <f t="shared" si="1"/>
        <v>Link</v>
      </c>
      <c r="O58" s="367">
        <v>2.35E-2</v>
      </c>
      <c r="P58" s="367">
        <v>-1.0200000000000001E-2</v>
      </c>
      <c r="Q58" s="49"/>
      <c r="R58" s="49"/>
      <c r="S58" s="49"/>
      <c r="T58" s="49"/>
    </row>
    <row r="59" spans="1:21" ht="21.95" customHeight="1" x14ac:dyDescent="0.25">
      <c r="A59" s="51"/>
      <c r="B59" s="51"/>
      <c r="C59" s="52"/>
      <c r="E59" s="23" t="s">
        <v>226</v>
      </c>
      <c r="F59" s="245">
        <v>56.25</v>
      </c>
      <c r="G59" s="245">
        <v>56.25</v>
      </c>
      <c r="H59" s="50">
        <v>0</v>
      </c>
      <c r="I59" s="49">
        <v>0</v>
      </c>
      <c r="J59" s="371">
        <v>0</v>
      </c>
      <c r="K59" s="357">
        <v>0</v>
      </c>
      <c r="L59" s="49">
        <v>257.64999999999964</v>
      </c>
      <c r="M59">
        <v>0</v>
      </c>
      <c r="N59" s="368" t="str">
        <f t="shared" si="1"/>
        <v>Link</v>
      </c>
      <c r="O59" s="357">
        <v>0</v>
      </c>
      <c r="P59" s="357">
        <v>-1.6000000000000001E-3</v>
      </c>
      <c r="R59" s="49"/>
    </row>
    <row r="60" spans="1:21" ht="21.95" customHeight="1" x14ac:dyDescent="0.25">
      <c r="A60" s="52"/>
      <c r="B60" s="52"/>
      <c r="C60" s="52"/>
      <c r="E60" s="23" t="s">
        <v>53</v>
      </c>
      <c r="F60" s="245">
        <v>69.7</v>
      </c>
      <c r="G60" s="245">
        <v>69.7</v>
      </c>
      <c r="H60" s="333">
        <v>0</v>
      </c>
      <c r="I60" s="49">
        <v>0</v>
      </c>
      <c r="J60" s="371">
        <v>0</v>
      </c>
      <c r="K60" s="357">
        <v>0</v>
      </c>
      <c r="L60" s="371">
        <v>33.940000000000055</v>
      </c>
      <c r="M60">
        <v>0</v>
      </c>
      <c r="N60" s="368" t="str">
        <f t="shared" si="1"/>
        <v>Link</v>
      </c>
      <c r="O60" s="367">
        <v>7.4000000000000003E-3</v>
      </c>
      <c r="P60" s="367">
        <v>-2.3999999999999998E-3</v>
      </c>
      <c r="Q60" s="149"/>
      <c r="R60" s="49"/>
      <c r="S60" s="49"/>
      <c r="T60" s="49"/>
    </row>
    <row r="61" spans="1:21" ht="21.95" customHeight="1" x14ac:dyDescent="0.25">
      <c r="A61" s="51"/>
      <c r="B61" s="51"/>
      <c r="C61" s="52"/>
      <c r="E61" s="23"/>
      <c r="H61" s="333"/>
      <c r="J61" s="371"/>
      <c r="K61" s="357"/>
      <c r="L61" s="371"/>
      <c r="N61" s="368"/>
      <c r="O61" s="367"/>
      <c r="P61" s="367"/>
      <c r="Q61" s="149"/>
    </row>
    <row r="62" spans="1:21" ht="21.95" customHeight="1" x14ac:dyDescent="0.25">
      <c r="A62" s="51"/>
      <c r="B62" s="52"/>
      <c r="C62" s="52"/>
      <c r="E62" s="23"/>
      <c r="J62" s="371"/>
      <c r="K62" s="357"/>
      <c r="N62" s="368"/>
      <c r="Q62" s="149"/>
      <c r="S62" s="49"/>
      <c r="U62" s="49"/>
    </row>
  </sheetData>
  <sortState ref="E2:P60">
    <sortCondition descending="1" ref="I1"/>
  </sortState>
  <dataConsolidate/>
  <conditionalFormatting sqref="O1:O58 O60:O1048576">
    <cfRule type="expression" dxfId="1476" priority="79">
      <formula>$O1=0</formula>
    </cfRule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475" priority="35">
      <formula>$H2=0</formula>
    </cfRule>
  </conditionalFormatting>
  <conditionalFormatting sqref="J2:K58 J60:K200">
    <cfRule type="expression" dxfId="1474" priority="36">
      <formula>$J2=0</formula>
    </cfRule>
  </conditionalFormatting>
  <conditionalFormatting sqref="L1:L58 L60:L1048576">
    <cfRule type="expression" dxfId="1473" priority="34">
      <formula>$L2=0</formula>
    </cfRule>
  </conditionalFormatting>
  <conditionalFormatting sqref="M1">
    <cfRule type="expression" dxfId="1472" priority="30">
      <formula>$L2=0</formula>
    </cfRule>
  </conditionalFormatting>
  <conditionalFormatting sqref="J2:K58">
    <cfRule type="expression" dxfId="1471" priority="78">
      <formula>$J2&gt;0</formula>
    </cfRule>
  </conditionalFormatting>
  <conditionalFormatting sqref="L2:L58">
    <cfRule type="expression" dxfId="1470" priority="32">
      <formula>$L2&lt;0</formula>
    </cfRule>
    <cfRule type="expression" dxfId="1469" priority="33">
      <formula>$L2&gt;0</formula>
    </cfRule>
  </conditionalFormatting>
  <conditionalFormatting sqref="J2:K58 J60:K458">
    <cfRule type="expression" dxfId="1468" priority="77">
      <formula>$J2&lt;0</formula>
    </cfRule>
  </conditionalFormatting>
  <conditionalFormatting sqref="P1:P58 P60:P1048576">
    <cfRule type="expression" dxfId="1467" priority="23">
      <formula>$O1=0</formula>
    </cfRule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O59">
    <cfRule type="expression" dxfId="1466" priority="10">
      <formula>$O59=0</formula>
    </cfRule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{57E905D5-DEAC-443A-9384-CB9DC8B53AD2}</x14:id>
        </ext>
      </extLst>
    </cfRule>
  </conditionalFormatting>
  <conditionalFormatting sqref="E59:I59">
    <cfRule type="expression" dxfId="1465" priority="6">
      <formula>$H59=0</formula>
    </cfRule>
  </conditionalFormatting>
  <conditionalFormatting sqref="J59:K59">
    <cfRule type="expression" dxfId="1464" priority="7">
      <formula>$J59=0</formula>
    </cfRule>
  </conditionalFormatting>
  <conditionalFormatting sqref="L59">
    <cfRule type="expression" dxfId="1463" priority="5">
      <formula>$L60=0</formula>
    </cfRule>
  </conditionalFormatting>
  <conditionalFormatting sqref="J59:K59">
    <cfRule type="expression" dxfId="1462" priority="9">
      <formula>$J59&gt;0</formula>
    </cfRule>
  </conditionalFormatting>
  <conditionalFormatting sqref="L59">
    <cfRule type="expression" dxfId="1461" priority="3">
      <formula>$L59&lt;0</formula>
    </cfRule>
    <cfRule type="expression" dxfId="1460" priority="4">
      <formula>$L59&gt;0</formula>
    </cfRule>
  </conditionalFormatting>
  <conditionalFormatting sqref="J59:K59">
    <cfRule type="expression" dxfId="1459" priority="8">
      <formula>$J59&lt;0</formula>
    </cfRule>
  </conditionalFormatting>
  <conditionalFormatting sqref="P59">
    <cfRule type="expression" dxfId="1458" priority="1">
      <formula>$O59=0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{348C0C20-9053-46CF-B451-184AB8EA25EB}</x14:id>
        </ext>
      </extLst>
    </cfRule>
  </conditionalFormatting>
  <hyperlinks>
    <hyperlink ref="E27" location="BIIB!A1" display="BIIB"/>
    <hyperlink ref="E45" location="MYL!A1" display="MYL"/>
    <hyperlink ref="E5" location="SIG!A1" display="SIG"/>
    <hyperlink ref="E21" location="AAPL!A1" display="AAPL"/>
    <hyperlink ref="E26" location="AXP!A1" display="AXP"/>
    <hyperlink ref="E15" location="DG!A1" display="DG"/>
    <hyperlink ref="E50" location="PINC!A1" display="PINC"/>
    <hyperlink ref="E37" location="FOXA!A1" display="FOXA"/>
    <hyperlink ref="E23" location="AOBC!A1" display="AOBC"/>
    <hyperlink ref="E44" location="LUV!A1" display="LUV"/>
    <hyperlink ref="E30" location="CCE!A1" display="CCE"/>
    <hyperlink ref="E28" location="BMY!A1" display="BMY"/>
    <hyperlink ref="E19" location="AKAM!A1" display="AKAM"/>
    <hyperlink ref="E24" location="ARNC!A1" display="ARNC"/>
    <hyperlink ref="E32" location="CVS!A1" display="CVS"/>
    <hyperlink ref="E2" location="MRO!A1" display="MRO"/>
    <hyperlink ref="E3" location="KR!A1" display="KR"/>
    <hyperlink ref="E36" location="F!A1" display="F"/>
    <hyperlink ref="E42" location="JNJ!A1" display="JNJ"/>
    <hyperlink ref="E8" location="AAP!A1" display="AAP"/>
    <hyperlink ref="E17" location="COST!A1" display="COST"/>
    <hyperlink ref="E4" location="CPN!A1" display="CPN"/>
    <hyperlink ref="E35" location="EW!A1" display="EW"/>
    <hyperlink ref="E18" location="TJX!A1" display="TJX"/>
    <hyperlink ref="E47" location="NKE!A1" display="NKE"/>
    <hyperlink ref="E6" location="MOS!A1" display="MOS"/>
    <hyperlink ref="E59" location="VGK!A1" display="VGK"/>
    <hyperlink ref="E10" location="MU!A1" display="MU"/>
    <hyperlink ref="E41" location="IP!A1" display="IP"/>
    <hyperlink ref="E40" location="INTC!A1" display="INTC"/>
    <hyperlink ref="E39" location="HES!A1" display="HES"/>
    <hyperlink ref="E57" location="UNP!A1" display="UNP"/>
    <hyperlink ref="E46" location="NCLH!A1" display="NCLH"/>
    <hyperlink ref="E51" location="SPY!A1" display="SPY"/>
    <hyperlink ref="E52" location="SWKS!A1" display="SWKS"/>
    <hyperlink ref="E31" location="CNI!A1" display="CNI"/>
    <hyperlink ref="E9" location="WFC!A1" display="WFC"/>
    <hyperlink ref="E20" location="AA!A1" display="AA"/>
    <hyperlink ref="E14" location="CF!A1" display="CF"/>
    <hyperlink ref="E13" location="TGT!A1" display="TGT"/>
    <hyperlink ref="E49" location="NWL!A1" display="NWL"/>
    <hyperlink ref="E43" location="KORS!A1" display="KORS"/>
    <hyperlink ref="E22" location="ALL!A1" display="ALL"/>
    <hyperlink ref="E48" location="NSC!A1" display="NSC"/>
    <hyperlink ref="E25" location="AVGO!A1" display="AVGO"/>
    <hyperlink ref="E55" location="UAL!A1" display="UAL"/>
    <hyperlink ref="E29" location="CAH!A1" display="CAH"/>
    <hyperlink ref="E33" location="DAL!A1" display="DAL"/>
    <hyperlink ref="E16" location="TEVA!A1" display="TEVA"/>
    <hyperlink ref="E34" location="DIS!A1" display="DIS"/>
    <hyperlink ref="E12" location="FTR!A1" display="FTR"/>
    <hyperlink ref="E7" location="GILD!A1" display="GILD"/>
    <hyperlink ref="E60" location="WWD!A1" display="WWD"/>
    <hyperlink ref="E11" location="GIS!A1" display="GIS"/>
    <hyperlink ref="E38" location="GM!A1" display="GM"/>
    <hyperlink ref="E54" location="TMO!A1" display="TMO"/>
    <hyperlink ref="E53" location="TKR!A1" display="TKR"/>
    <hyperlink ref="E58" location="UTX!A1" display="UTX"/>
    <hyperlink ref="E5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O1:O58 O60:O1048576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P1:P58 P60:P1048576</xm:sqref>
        </x14:conditionalFormatting>
        <x14:conditionalFormatting xmlns:xm="http://schemas.microsoft.com/office/excel/2006/main">
          <x14:cfRule type="dataBar" id="{57E905D5-DEAC-443A-9384-CB9DC8B53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348C0C20-9053-46CF-B451-184AB8EA2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B291" sqref="B291"/>
    </sheetView>
  </sheetViews>
  <sheetFormatPr defaultColWidth="9.140625" defaultRowHeight="18" customHeight="1" x14ac:dyDescent="0.25"/>
  <cols>
    <col min="1" max="1" width="9.5703125" style="28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8" t="s">
        <v>1</v>
      </c>
      <c r="B1" s="309" t="s">
        <v>2</v>
      </c>
      <c r="C1" s="310" t="s">
        <v>4</v>
      </c>
      <c r="D1" s="309" t="s">
        <v>5</v>
      </c>
      <c r="E1" s="309" t="s">
        <v>94</v>
      </c>
      <c r="F1" s="311" t="s">
        <v>60</v>
      </c>
      <c r="G1" s="309" t="s">
        <v>3</v>
      </c>
      <c r="H1" s="310" t="s">
        <v>6</v>
      </c>
      <c r="I1" s="309" t="s">
        <v>7</v>
      </c>
      <c r="J1" s="310" t="s">
        <v>95</v>
      </c>
      <c r="K1" s="311" t="s">
        <v>61</v>
      </c>
      <c r="L1" s="309" t="s">
        <v>77</v>
      </c>
      <c r="M1" s="311" t="s">
        <v>38</v>
      </c>
      <c r="N1" s="310" t="s">
        <v>59</v>
      </c>
      <c r="O1" s="310" t="s">
        <v>76</v>
      </c>
      <c r="P1" s="24" t="s">
        <v>132</v>
      </c>
    </row>
    <row r="2" spans="1:17" ht="18" customHeight="1" x14ac:dyDescent="0.25">
      <c r="A2" s="297" t="s">
        <v>12</v>
      </c>
      <c r="B2" s="298">
        <v>42151</v>
      </c>
      <c r="C2" s="299">
        <v>5</v>
      </c>
      <c r="D2" s="300">
        <v>42.7</v>
      </c>
      <c r="E2" s="301"/>
      <c r="F2" s="300">
        <f>C2*D2</f>
        <v>213.5</v>
      </c>
      <c r="G2" s="298">
        <v>42181</v>
      </c>
      <c r="H2" s="299">
        <v>5</v>
      </c>
      <c r="I2" s="300">
        <v>43.35</v>
      </c>
      <c r="J2" s="299">
        <v>0.01</v>
      </c>
      <c r="K2" s="300">
        <f>H2*I2-J2</f>
        <v>216.74</v>
      </c>
      <c r="L2" s="301"/>
      <c r="M2" s="300"/>
      <c r="N2" s="300"/>
      <c r="O2" s="302"/>
    </row>
    <row r="3" spans="1:17" ht="18" customHeight="1" x14ac:dyDescent="0.25">
      <c r="A3" s="297"/>
      <c r="B3" s="298">
        <v>42153</v>
      </c>
      <c r="C3" s="299">
        <v>25</v>
      </c>
      <c r="D3" s="300">
        <v>41.6</v>
      </c>
      <c r="E3" s="301"/>
      <c r="F3" s="300">
        <f>C3*D3</f>
        <v>1040</v>
      </c>
      <c r="G3" s="298">
        <v>42200</v>
      </c>
      <c r="H3" s="299">
        <v>10</v>
      </c>
      <c r="I3" s="300">
        <v>41.64</v>
      </c>
      <c r="J3" s="299">
        <v>0.01</v>
      </c>
      <c r="K3" s="300">
        <f>H3*I3-J3</f>
        <v>416.39</v>
      </c>
      <c r="L3" s="301"/>
      <c r="M3" s="300"/>
      <c r="N3" s="300"/>
      <c r="O3" s="302"/>
    </row>
    <row r="4" spans="1:17" ht="18" customHeight="1" x14ac:dyDescent="0.25">
      <c r="A4" s="297"/>
      <c r="B4" s="298">
        <v>42166</v>
      </c>
      <c r="C4" s="299">
        <v>10</v>
      </c>
      <c r="D4" s="300">
        <v>40</v>
      </c>
      <c r="E4" s="301"/>
      <c r="F4" s="300">
        <f>C4*D4</f>
        <v>400</v>
      </c>
      <c r="G4" s="298">
        <v>42201</v>
      </c>
      <c r="H4" s="299">
        <v>125</v>
      </c>
      <c r="I4" s="300">
        <v>42.6</v>
      </c>
      <c r="J4" s="299">
        <v>0.1</v>
      </c>
      <c r="K4" s="300">
        <f>H4*I4-J4</f>
        <v>5324.9</v>
      </c>
      <c r="L4" s="301"/>
      <c r="M4" s="300"/>
      <c r="N4" s="300"/>
      <c r="O4" s="302"/>
      <c r="Q4" s="150"/>
    </row>
    <row r="5" spans="1:17" ht="18" customHeight="1" x14ac:dyDescent="0.25">
      <c r="A5" s="297"/>
      <c r="B5" s="298">
        <v>42166</v>
      </c>
      <c r="C5" s="299">
        <v>100</v>
      </c>
      <c r="D5" s="300">
        <v>39.799999999999997</v>
      </c>
      <c r="E5" s="301"/>
      <c r="F5" s="300">
        <f>C5*D5</f>
        <v>3979.9999999999995</v>
      </c>
      <c r="G5" s="301"/>
      <c r="H5" s="299"/>
      <c r="I5" s="300"/>
      <c r="J5" s="299"/>
      <c r="K5" s="300"/>
      <c r="L5" s="301"/>
      <c r="M5" s="300"/>
      <c r="N5" s="300"/>
      <c r="O5" s="302"/>
    </row>
    <row r="6" spans="1:17" ht="17.25" customHeight="1" x14ac:dyDescent="0.25">
      <c r="A6" s="297"/>
      <c r="B6" s="303"/>
      <c r="C6" s="304">
        <f>SUM(C2:C5)</f>
        <v>140</v>
      </c>
      <c r="D6" s="305"/>
      <c r="E6" s="306"/>
      <c r="F6" s="305">
        <f>SUM(F2:F5)</f>
        <v>5633.5</v>
      </c>
      <c r="G6" s="306"/>
      <c r="H6" s="304">
        <f>SUM(H2:H5)</f>
        <v>140</v>
      </c>
      <c r="I6" s="305"/>
      <c r="J6" s="304"/>
      <c r="K6" s="305">
        <f>SUM(K2:K5)</f>
        <v>5958.03</v>
      </c>
      <c r="L6" s="306"/>
      <c r="M6" s="305"/>
      <c r="N6" s="305">
        <f>K6-F6</f>
        <v>324.52999999999975</v>
      </c>
      <c r="O6" s="307">
        <f>(N6+M6)/F6</f>
        <v>5.7607171385461925E-2</v>
      </c>
      <c r="P6" s="140" t="s">
        <v>133</v>
      </c>
    </row>
    <row r="7" spans="1:17" ht="17.25" customHeight="1" x14ac:dyDescent="0.25">
      <c r="A7" s="285"/>
      <c r="B7" s="144"/>
      <c r="C7" s="145"/>
      <c r="D7" s="146"/>
      <c r="E7" s="25"/>
      <c r="F7" s="146"/>
      <c r="G7" s="147"/>
      <c r="H7" s="145"/>
      <c r="I7" s="146"/>
      <c r="K7" s="146"/>
      <c r="L7" s="147"/>
      <c r="M7" s="146"/>
      <c r="N7" s="146"/>
      <c r="O7" s="148"/>
      <c r="P7" s="140"/>
    </row>
    <row r="8" spans="1:17" ht="17.25" customHeight="1" x14ac:dyDescent="0.25">
      <c r="A8" s="286" t="s">
        <v>18</v>
      </c>
      <c r="B8" s="287">
        <v>42153</v>
      </c>
      <c r="C8" s="288">
        <v>50</v>
      </c>
      <c r="D8" s="289">
        <v>36.4</v>
      </c>
      <c r="E8" s="289">
        <v>0</v>
      </c>
      <c r="F8" s="289">
        <f t="shared" ref="F8:F15" si="0">C8*D8</f>
        <v>1820</v>
      </c>
      <c r="G8" s="287">
        <v>42333</v>
      </c>
      <c r="H8" s="290">
        <v>80</v>
      </c>
      <c r="I8" s="289">
        <v>8.7200000000000006</v>
      </c>
      <c r="J8" s="289">
        <v>0.01</v>
      </c>
      <c r="K8" s="289">
        <f>I8*H8-J8</f>
        <v>697.59</v>
      </c>
      <c r="L8" s="288"/>
      <c r="M8" s="288"/>
      <c r="N8" s="288"/>
      <c r="O8" s="291"/>
      <c r="P8" s="4"/>
      <c r="Q8" s="182"/>
    </row>
    <row r="9" spans="1:17" ht="17.25" customHeight="1" x14ac:dyDescent="0.25">
      <c r="A9" s="292"/>
      <c r="B9" s="287">
        <v>42173</v>
      </c>
      <c r="C9" s="288">
        <v>5</v>
      </c>
      <c r="D9" s="289">
        <v>22.95</v>
      </c>
      <c r="E9" s="289">
        <v>0</v>
      </c>
      <c r="F9" s="289">
        <f t="shared" si="0"/>
        <v>114.75</v>
      </c>
      <c r="G9" s="287">
        <v>42335</v>
      </c>
      <c r="H9" s="290">
        <v>80</v>
      </c>
      <c r="I9" s="289">
        <v>8.98</v>
      </c>
      <c r="J9" s="289">
        <v>0.01</v>
      </c>
      <c r="K9" s="289">
        <f>I9*H9-J9</f>
        <v>718.3900000000001</v>
      </c>
      <c r="L9" s="288"/>
      <c r="M9" s="288"/>
      <c r="N9" s="288"/>
      <c r="O9" s="291"/>
      <c r="P9" s="4"/>
      <c r="Q9" s="3"/>
    </row>
    <row r="10" spans="1:17" ht="17.25" customHeight="1" x14ac:dyDescent="0.25">
      <c r="A10" s="293"/>
      <c r="B10" s="287">
        <v>42173</v>
      </c>
      <c r="C10" s="288">
        <v>10</v>
      </c>
      <c r="D10" s="289">
        <v>22.8</v>
      </c>
      <c r="E10" s="289">
        <v>0</v>
      </c>
      <c r="F10" s="289">
        <f t="shared" si="0"/>
        <v>228</v>
      </c>
      <c r="G10" s="287">
        <v>42362</v>
      </c>
      <c r="H10" s="290">
        <v>80</v>
      </c>
      <c r="I10" s="289">
        <v>9.4499999999999993</v>
      </c>
      <c r="J10" s="289">
        <v>0.01</v>
      </c>
      <c r="K10" s="289">
        <f>I10*H10-J10</f>
        <v>755.99</v>
      </c>
      <c r="L10" s="288"/>
      <c r="M10" s="288"/>
      <c r="N10" s="288"/>
      <c r="O10" s="291"/>
      <c r="P10" s="4"/>
      <c r="Q10" s="282"/>
    </row>
    <row r="11" spans="1:17" ht="18" customHeight="1" x14ac:dyDescent="0.25">
      <c r="A11" s="293"/>
      <c r="B11" s="287">
        <v>42234</v>
      </c>
      <c r="C11" s="288">
        <v>15</v>
      </c>
      <c r="D11" s="289">
        <v>13.9</v>
      </c>
      <c r="E11" s="289">
        <v>0</v>
      </c>
      <c r="F11" s="289">
        <f t="shared" si="0"/>
        <v>208.5</v>
      </c>
      <c r="G11" s="287">
        <v>42398</v>
      </c>
      <c r="H11" s="290">
        <v>3</v>
      </c>
      <c r="I11" s="289">
        <v>5.81</v>
      </c>
      <c r="J11" s="289">
        <v>0.01</v>
      </c>
      <c r="K11" s="289">
        <f>I11*H11-J11</f>
        <v>17.419999999999998</v>
      </c>
      <c r="L11" s="288"/>
      <c r="M11" s="288"/>
      <c r="N11" s="288"/>
      <c r="O11" s="291"/>
      <c r="P11" s="4"/>
      <c r="Q11" s="3"/>
    </row>
    <row r="12" spans="1:17" ht="18" customHeight="1" x14ac:dyDescent="0.25">
      <c r="A12" s="293"/>
      <c r="B12" s="715">
        <v>42328</v>
      </c>
      <c r="C12" s="288">
        <v>1</v>
      </c>
      <c r="D12" s="289">
        <v>8.59</v>
      </c>
      <c r="E12" s="289">
        <v>0</v>
      </c>
      <c r="F12" s="289">
        <f t="shared" si="0"/>
        <v>8.59</v>
      </c>
      <c r="G12" s="288"/>
      <c r="H12" s="290"/>
      <c r="I12" s="289"/>
      <c r="J12" s="289"/>
      <c r="K12" s="289"/>
      <c r="L12" s="288"/>
      <c r="M12" s="288"/>
      <c r="N12" s="288"/>
      <c r="O12" s="291"/>
      <c r="P12" s="4"/>
      <c r="Q12" s="3"/>
    </row>
    <row r="13" spans="1:17" ht="18" customHeight="1" x14ac:dyDescent="0.25">
      <c r="A13" s="293"/>
      <c r="B13" s="715"/>
      <c r="C13" s="288">
        <v>80</v>
      </c>
      <c r="D13" s="289">
        <v>8.59</v>
      </c>
      <c r="E13" s="289">
        <v>0</v>
      </c>
      <c r="F13" s="289">
        <f t="shared" si="0"/>
        <v>687.2</v>
      </c>
      <c r="G13" s="288"/>
      <c r="H13" s="290"/>
      <c r="I13" s="289"/>
      <c r="J13" s="289"/>
      <c r="K13" s="289"/>
      <c r="L13" s="288"/>
      <c r="M13" s="288"/>
      <c r="N13" s="288"/>
      <c r="O13" s="291"/>
      <c r="P13" s="4"/>
      <c r="Q13" s="3"/>
    </row>
    <row r="14" spans="1:17" ht="18" customHeight="1" x14ac:dyDescent="0.25">
      <c r="A14" s="293"/>
      <c r="B14" s="715">
        <v>42354</v>
      </c>
      <c r="C14" s="288">
        <v>2</v>
      </c>
      <c r="D14" s="289">
        <v>8.73</v>
      </c>
      <c r="E14" s="289">
        <v>0</v>
      </c>
      <c r="F14" s="289">
        <f t="shared" si="0"/>
        <v>17.46</v>
      </c>
      <c r="G14" s="288"/>
      <c r="H14" s="290"/>
      <c r="I14" s="289"/>
      <c r="J14" s="289"/>
      <c r="K14" s="289"/>
      <c r="L14" s="288"/>
      <c r="M14" s="288"/>
      <c r="N14" s="288"/>
      <c r="O14" s="291"/>
      <c r="P14" s="4"/>
      <c r="Q14" s="283"/>
    </row>
    <row r="15" spans="1:17" ht="18" customHeight="1" x14ac:dyDescent="0.25">
      <c r="A15" s="293"/>
      <c r="B15" s="715"/>
      <c r="C15" s="288">
        <v>80</v>
      </c>
      <c r="D15" s="289">
        <v>8.73</v>
      </c>
      <c r="E15" s="289">
        <v>0</v>
      </c>
      <c r="F15" s="289">
        <f t="shared" si="0"/>
        <v>698.40000000000009</v>
      </c>
      <c r="G15" s="288"/>
      <c r="H15" s="288"/>
      <c r="I15" s="289"/>
      <c r="J15" s="289"/>
      <c r="K15" s="289"/>
      <c r="L15" s="288"/>
      <c r="M15" s="288"/>
      <c r="N15" s="288"/>
      <c r="O15" s="288"/>
      <c r="P15" s="4"/>
      <c r="Q15" s="4"/>
    </row>
    <row r="16" spans="1:17" ht="18" customHeight="1" x14ac:dyDescent="0.25">
      <c r="A16" s="286"/>
      <c r="B16" s="291"/>
      <c r="C16" s="291">
        <f>SUM(C8:C15)</f>
        <v>243</v>
      </c>
      <c r="D16" s="294"/>
      <c r="E16" s="294"/>
      <c r="F16" s="294">
        <f>SUM(F8:F15)</f>
        <v>3782.9</v>
      </c>
      <c r="G16" s="294"/>
      <c r="H16" s="295">
        <f>SUM(H8:H12)</f>
        <v>243</v>
      </c>
      <c r="I16" s="294"/>
      <c r="J16" s="294"/>
      <c r="K16" s="294">
        <f>SUM(K8:K12)</f>
        <v>2189.3900000000003</v>
      </c>
      <c r="L16" s="294"/>
      <c r="M16" s="294"/>
      <c r="N16" s="294">
        <f>K16-F16</f>
        <v>-1593.5099999999998</v>
      </c>
      <c r="O16" s="296">
        <f>N16/F16</f>
        <v>-0.42124031827433972</v>
      </c>
      <c r="P16" s="4"/>
      <c r="Q16" s="4"/>
    </row>
    <row r="17" spans="1:20" ht="18" customHeight="1" x14ac:dyDescent="0.25">
      <c r="A17" s="25"/>
      <c r="B17" s="312"/>
      <c r="C17" s="313"/>
      <c r="D17" s="314"/>
      <c r="E17" s="314"/>
      <c r="F17" s="314"/>
      <c r="G17" s="312"/>
      <c r="H17" s="313"/>
      <c r="I17" s="314"/>
      <c r="J17" s="314"/>
      <c r="K17" s="314"/>
      <c r="L17" s="312"/>
      <c r="M17" s="314"/>
      <c r="N17" s="314"/>
      <c r="O17" s="315"/>
    </row>
    <row r="18" spans="1:20" ht="18" customHeight="1" x14ac:dyDescent="0.25">
      <c r="A18" s="297" t="s">
        <v>48</v>
      </c>
      <c r="B18" s="298">
        <v>42186</v>
      </c>
      <c r="C18" s="299">
        <v>10</v>
      </c>
      <c r="D18" s="300">
        <v>101.7</v>
      </c>
      <c r="E18" s="300"/>
      <c r="F18" s="300">
        <f>C18*D18</f>
        <v>1017</v>
      </c>
      <c r="G18" s="298">
        <v>42186</v>
      </c>
      <c r="H18" s="299">
        <v>10</v>
      </c>
      <c r="I18" s="300">
        <v>103</v>
      </c>
      <c r="J18" s="300">
        <v>0.02</v>
      </c>
      <c r="K18" s="300">
        <f>H18*I18-J18</f>
        <v>1029.98</v>
      </c>
      <c r="L18" s="301"/>
      <c r="M18" s="300"/>
      <c r="N18" s="300"/>
      <c r="O18" s="302"/>
    </row>
    <row r="19" spans="1:20" ht="18" customHeight="1" x14ac:dyDescent="0.25">
      <c r="A19" s="297"/>
      <c r="B19" s="303"/>
      <c r="C19" s="304">
        <f>SUM(C18)</f>
        <v>10</v>
      </c>
      <c r="D19" s="305"/>
      <c r="E19" s="305"/>
      <c r="F19" s="305">
        <f>SUM(F18)</f>
        <v>1017</v>
      </c>
      <c r="G19" s="306"/>
      <c r="H19" s="304">
        <f>SUM(H18)</f>
        <v>10</v>
      </c>
      <c r="I19" s="305"/>
      <c r="J19" s="305"/>
      <c r="K19" s="305">
        <f>SUM(K18)</f>
        <v>1029.98</v>
      </c>
      <c r="L19" s="306"/>
      <c r="M19" s="305"/>
      <c r="N19" s="305">
        <f>K19-F19</f>
        <v>12.980000000000018</v>
      </c>
      <c r="O19" s="307">
        <f>(N19+M19)/F19</f>
        <v>1.2763028515240922E-2</v>
      </c>
      <c r="P19" s="140" t="s">
        <v>133</v>
      </c>
    </row>
    <row r="20" spans="1:20" ht="18" customHeight="1" x14ac:dyDescent="0.25">
      <c r="A20" s="25"/>
      <c r="B20" s="312"/>
      <c r="C20" s="313"/>
      <c r="D20" s="314"/>
      <c r="E20" s="25"/>
      <c r="F20" s="314"/>
      <c r="G20" s="312"/>
      <c r="H20" s="313"/>
      <c r="I20" s="314"/>
      <c r="K20" s="314"/>
      <c r="L20" s="312"/>
      <c r="M20" s="314"/>
      <c r="N20" s="314"/>
      <c r="O20" s="315"/>
      <c r="R20" s="312"/>
      <c r="S20" s="313"/>
      <c r="T20" s="314"/>
    </row>
    <row r="21" spans="1:20" ht="18" customHeight="1" x14ac:dyDescent="0.25">
      <c r="A21" s="297" t="s">
        <v>68</v>
      </c>
      <c r="B21" s="298">
        <v>42164</v>
      </c>
      <c r="C21" s="299">
        <v>20</v>
      </c>
      <c r="D21" s="300">
        <v>11.25</v>
      </c>
      <c r="E21" s="301">
        <v>0</v>
      </c>
      <c r="F21" s="300">
        <f t="shared" ref="F21:F26" si="1">C21*D21+E21</f>
        <v>225</v>
      </c>
      <c r="G21" s="298">
        <v>42235</v>
      </c>
      <c r="H21" s="299">
        <v>110</v>
      </c>
      <c r="I21" s="300">
        <v>8.69</v>
      </c>
      <c r="J21" s="299">
        <v>0.02</v>
      </c>
      <c r="K21" s="300">
        <f>H21*I21-J21</f>
        <v>955.88</v>
      </c>
      <c r="L21" s="301">
        <v>42346</v>
      </c>
      <c r="M21" s="300">
        <f>21.93-0.91-2.19-4.38</f>
        <v>14.45</v>
      </c>
      <c r="N21" s="300"/>
      <c r="O21" s="302"/>
      <c r="R21" s="147"/>
      <c r="S21" s="145"/>
      <c r="T21" s="146"/>
    </row>
    <row r="22" spans="1:20" ht="18" customHeight="1" x14ac:dyDescent="0.25">
      <c r="A22" s="297" t="s">
        <v>123</v>
      </c>
      <c r="B22" s="298">
        <v>42187</v>
      </c>
      <c r="C22" s="299">
        <v>20</v>
      </c>
      <c r="D22" s="300">
        <v>10.28</v>
      </c>
      <c r="E22" s="301">
        <v>0</v>
      </c>
      <c r="F22" s="300">
        <f t="shared" si="1"/>
        <v>205.6</v>
      </c>
      <c r="G22" s="298">
        <v>42331</v>
      </c>
      <c r="H22" s="299">
        <v>150</v>
      </c>
      <c r="I22" s="300">
        <v>8.7100000000000009</v>
      </c>
      <c r="J22" s="299">
        <v>0.51</v>
      </c>
      <c r="K22" s="300">
        <f>H22*I22-J22</f>
        <v>1305.9900000000002</v>
      </c>
      <c r="L22" s="301"/>
      <c r="M22" s="300"/>
      <c r="N22" s="300"/>
      <c r="O22" s="302"/>
      <c r="R22" s="147"/>
      <c r="S22" s="145"/>
      <c r="T22" s="146"/>
    </row>
    <row r="23" spans="1:20" ht="18" customHeight="1" x14ac:dyDescent="0.25">
      <c r="A23" s="297"/>
      <c r="B23" s="298">
        <v>42198</v>
      </c>
      <c r="C23" s="299">
        <v>40</v>
      </c>
      <c r="D23" s="300">
        <v>10.119999999999999</v>
      </c>
      <c r="E23" s="301">
        <v>0</v>
      </c>
      <c r="F23" s="300">
        <f t="shared" si="1"/>
        <v>404.79999999999995</v>
      </c>
      <c r="G23" s="298">
        <v>42332</v>
      </c>
      <c r="H23" s="299">
        <v>120</v>
      </c>
      <c r="I23" s="300">
        <v>9.0500000000000007</v>
      </c>
      <c r="J23" s="299">
        <v>0.02</v>
      </c>
      <c r="K23" s="300">
        <f>H23*I23-J23</f>
        <v>1085.98</v>
      </c>
      <c r="L23" s="301"/>
      <c r="M23" s="300"/>
      <c r="N23" s="300"/>
      <c r="O23" s="302"/>
      <c r="R23" s="147"/>
      <c r="S23" s="145"/>
      <c r="T23" s="146"/>
    </row>
    <row r="24" spans="1:20" ht="18" customHeight="1" x14ac:dyDescent="0.25">
      <c r="A24" s="297"/>
      <c r="B24" s="298">
        <v>42198</v>
      </c>
      <c r="C24" s="299">
        <v>40</v>
      </c>
      <c r="D24" s="300">
        <v>9.94</v>
      </c>
      <c r="E24" s="301">
        <v>0</v>
      </c>
      <c r="F24" s="300">
        <f t="shared" si="1"/>
        <v>397.59999999999997</v>
      </c>
      <c r="G24" s="298"/>
      <c r="H24" s="299"/>
      <c r="I24" s="300"/>
      <c r="J24" s="299"/>
      <c r="K24" s="300"/>
      <c r="L24" s="301"/>
      <c r="M24" s="300"/>
      <c r="N24" s="300"/>
      <c r="O24" s="302"/>
    </row>
    <row r="25" spans="1:20" ht="18" customHeight="1" x14ac:dyDescent="0.25">
      <c r="A25" s="297"/>
      <c r="B25" s="298">
        <v>42233</v>
      </c>
      <c r="C25" s="299">
        <v>110</v>
      </c>
      <c r="D25" s="300">
        <v>8.48</v>
      </c>
      <c r="E25" s="301">
        <v>0</v>
      </c>
      <c r="F25" s="300">
        <f t="shared" si="1"/>
        <v>932.80000000000007</v>
      </c>
      <c r="G25" s="298"/>
      <c r="H25" s="299"/>
      <c r="I25" s="300"/>
      <c r="J25" s="299"/>
      <c r="K25" s="300"/>
      <c r="L25" s="301"/>
      <c r="M25" s="300"/>
      <c r="N25" s="300"/>
      <c r="O25" s="302"/>
    </row>
    <row r="26" spans="1:20" ht="18" customHeight="1" x14ac:dyDescent="0.25">
      <c r="A26" s="297"/>
      <c r="B26" s="298">
        <v>42270</v>
      </c>
      <c r="C26" s="299">
        <v>150</v>
      </c>
      <c r="D26" s="300">
        <v>7.73</v>
      </c>
      <c r="E26" s="301">
        <v>0</v>
      </c>
      <c r="F26" s="300">
        <f t="shared" si="1"/>
        <v>1159.5</v>
      </c>
      <c r="G26" s="298"/>
      <c r="H26" s="299"/>
      <c r="I26" s="300"/>
      <c r="J26" s="299"/>
      <c r="K26" s="300"/>
      <c r="L26" s="301"/>
      <c r="M26" s="300"/>
      <c r="N26" s="300"/>
      <c r="O26" s="302"/>
    </row>
    <row r="27" spans="1:20" ht="18" customHeight="1" x14ac:dyDescent="0.25">
      <c r="A27" s="297"/>
      <c r="B27" s="303"/>
      <c r="C27" s="304">
        <f>SUM(C21:C26)</f>
        <v>380</v>
      </c>
      <c r="D27" s="305"/>
      <c r="E27" s="306"/>
      <c r="F27" s="305">
        <f>SUM(F21:F26)</f>
        <v>3325.3</v>
      </c>
      <c r="G27" s="306"/>
      <c r="H27" s="304">
        <f>SUM(H21:H26)</f>
        <v>380</v>
      </c>
      <c r="I27" s="305"/>
      <c r="J27" s="304"/>
      <c r="K27" s="305">
        <f>SUM(K21:K26)</f>
        <v>3347.8500000000004</v>
      </c>
      <c r="L27" s="306"/>
      <c r="M27" s="305">
        <f>SUM(M21:M26)</f>
        <v>14.45</v>
      </c>
      <c r="N27" s="305">
        <f>K27-F27</f>
        <v>22.550000000000182</v>
      </c>
      <c r="O27" s="307">
        <f>(N27+M27)/F27</f>
        <v>1.112681562565789E-2</v>
      </c>
    </row>
    <row r="28" spans="1:20" ht="18" customHeight="1" x14ac:dyDescent="0.25">
      <c r="A28" s="25"/>
      <c r="B28" s="147"/>
      <c r="C28" s="145"/>
      <c r="D28" s="146"/>
      <c r="E28" s="25"/>
      <c r="F28" s="146"/>
      <c r="G28" s="147"/>
      <c r="H28" s="145"/>
      <c r="I28" s="146"/>
      <c r="K28" s="146"/>
      <c r="L28" s="147"/>
      <c r="M28" s="146"/>
      <c r="N28" s="146"/>
      <c r="O28" s="148"/>
    </row>
    <row r="29" spans="1:20" ht="18" customHeight="1" x14ac:dyDescent="0.25">
      <c r="A29" s="297" t="s">
        <v>29</v>
      </c>
      <c r="B29" s="298">
        <v>42164</v>
      </c>
      <c r="C29" s="299">
        <v>5</v>
      </c>
      <c r="D29" s="300">
        <v>45.9</v>
      </c>
      <c r="E29" s="301"/>
      <c r="F29" s="300">
        <f>C29*D29</f>
        <v>229.5</v>
      </c>
      <c r="G29" s="298">
        <v>42195</v>
      </c>
      <c r="H29" s="299">
        <v>20</v>
      </c>
      <c r="I29" s="300">
        <v>46.15</v>
      </c>
      <c r="J29" s="299">
        <v>0.02</v>
      </c>
      <c r="K29" s="300">
        <f>H29*I29-J29</f>
        <v>922.98</v>
      </c>
      <c r="L29" s="301"/>
      <c r="M29" s="300"/>
      <c r="N29" s="300"/>
      <c r="O29" s="302"/>
    </row>
    <row r="30" spans="1:20" ht="18" customHeight="1" x14ac:dyDescent="0.25">
      <c r="A30" s="297"/>
      <c r="B30" s="298">
        <v>42184</v>
      </c>
      <c r="C30" s="299">
        <v>5</v>
      </c>
      <c r="D30" s="300">
        <v>44.5</v>
      </c>
      <c r="E30" s="301"/>
      <c r="F30" s="300">
        <f>C30*D30</f>
        <v>222.5</v>
      </c>
      <c r="G30" s="301"/>
      <c r="H30" s="299"/>
      <c r="I30" s="300"/>
      <c r="J30" s="299"/>
      <c r="K30" s="300"/>
      <c r="L30" s="301"/>
      <c r="M30" s="300"/>
      <c r="N30" s="300"/>
      <c r="O30" s="302"/>
    </row>
    <row r="31" spans="1:20" ht="18" customHeight="1" x14ac:dyDescent="0.25">
      <c r="A31" s="297"/>
      <c r="B31" s="298">
        <v>42184</v>
      </c>
      <c r="C31" s="299">
        <v>10</v>
      </c>
      <c r="D31" s="300">
        <v>44.35</v>
      </c>
      <c r="E31" s="301"/>
      <c r="F31" s="300">
        <f>C31*D31</f>
        <v>443.5</v>
      </c>
      <c r="G31" s="301"/>
      <c r="H31" s="299"/>
      <c r="I31" s="300"/>
      <c r="J31" s="299"/>
      <c r="K31" s="300"/>
      <c r="L31" s="301"/>
      <c r="M31" s="300"/>
      <c r="N31" s="300"/>
      <c r="O31" s="302"/>
    </row>
    <row r="32" spans="1:20" ht="18" customHeight="1" x14ac:dyDescent="0.25">
      <c r="A32" s="297"/>
      <c r="B32" s="303"/>
      <c r="C32" s="304">
        <f>SUM(C29:C31)</f>
        <v>20</v>
      </c>
      <c r="D32" s="305"/>
      <c r="E32" s="306"/>
      <c r="F32" s="305">
        <f>SUM(F29:F31)</f>
        <v>895.5</v>
      </c>
      <c r="G32" s="306"/>
      <c r="H32" s="304">
        <f>SUM(H29:H31)</f>
        <v>20</v>
      </c>
      <c r="I32" s="305"/>
      <c r="J32" s="304"/>
      <c r="K32" s="305">
        <f>SUM(K29:K31)</f>
        <v>922.98</v>
      </c>
      <c r="L32" s="306"/>
      <c r="M32" s="305"/>
      <c r="N32" s="305">
        <f>K32-F32</f>
        <v>27.480000000000018</v>
      </c>
      <c r="O32" s="307">
        <f>(N32+M32)/F32</f>
        <v>3.0686767169179251E-2</v>
      </c>
    </row>
    <row r="33" spans="1:16" ht="18" customHeight="1" x14ac:dyDescent="0.25">
      <c r="A33" s="25"/>
      <c r="B33" s="312"/>
      <c r="C33" s="313"/>
      <c r="D33" s="314"/>
      <c r="E33" s="25"/>
      <c r="F33" s="314"/>
      <c r="G33" s="312"/>
      <c r="H33" s="313"/>
      <c r="I33" s="314"/>
      <c r="K33" s="314"/>
      <c r="L33" s="312"/>
      <c r="M33" s="314"/>
      <c r="N33" s="314"/>
      <c r="O33" s="315"/>
    </row>
    <row r="34" spans="1:16" ht="18" customHeight="1" x14ac:dyDescent="0.25">
      <c r="A34" s="286" t="s">
        <v>11</v>
      </c>
      <c r="B34" s="287">
        <v>42150</v>
      </c>
      <c r="C34" s="288">
        <v>5</v>
      </c>
      <c r="D34" s="289">
        <v>169</v>
      </c>
      <c r="E34" s="289">
        <v>0</v>
      </c>
      <c r="F34" s="289">
        <f>C34*D34+E34</f>
        <v>845</v>
      </c>
      <c r="G34" s="287">
        <v>42186</v>
      </c>
      <c r="H34" s="288">
        <v>100</v>
      </c>
      <c r="I34" s="289">
        <v>167</v>
      </c>
      <c r="J34" s="289">
        <v>0.31</v>
      </c>
      <c r="K34" s="289">
        <f t="shared" ref="K34:K49" si="2">H34*I34-J34</f>
        <v>16699.689999999999</v>
      </c>
      <c r="L34" s="288"/>
      <c r="M34" s="288"/>
      <c r="N34" s="288"/>
      <c r="O34" s="291"/>
    </row>
    <row r="35" spans="1:16" ht="18" customHeight="1" x14ac:dyDescent="0.25">
      <c r="A35" s="332"/>
      <c r="B35" s="287">
        <v>42150</v>
      </c>
      <c r="C35" s="288">
        <v>10</v>
      </c>
      <c r="D35" s="289">
        <v>166.5</v>
      </c>
      <c r="E35" s="289">
        <v>0</v>
      </c>
      <c r="F35" s="289">
        <f t="shared" ref="F35:F54" si="3">C35*D35+E35</f>
        <v>1665</v>
      </c>
      <c r="G35" s="287">
        <v>42186</v>
      </c>
      <c r="H35" s="288">
        <v>100</v>
      </c>
      <c r="I35" s="289">
        <v>167</v>
      </c>
      <c r="J35" s="289">
        <v>0.31</v>
      </c>
      <c r="K35" s="289">
        <f t="shared" si="2"/>
        <v>16699.689999999999</v>
      </c>
      <c r="L35" s="288"/>
      <c r="M35" s="288"/>
      <c r="N35" s="288"/>
      <c r="O35" s="291"/>
    </row>
    <row r="36" spans="1:16" ht="18" customHeight="1" x14ac:dyDescent="0.25">
      <c r="A36" s="288"/>
      <c r="B36" s="287">
        <v>42150</v>
      </c>
      <c r="C36" s="288">
        <v>30</v>
      </c>
      <c r="D36" s="289">
        <v>165.4</v>
      </c>
      <c r="E36" s="289">
        <v>0</v>
      </c>
      <c r="F36" s="289">
        <f t="shared" si="3"/>
        <v>4962</v>
      </c>
      <c r="G36" s="287">
        <v>42186</v>
      </c>
      <c r="H36" s="288">
        <v>50</v>
      </c>
      <c r="I36" s="289">
        <v>168.5</v>
      </c>
      <c r="J36" s="289">
        <v>0.16</v>
      </c>
      <c r="K36" s="289">
        <f t="shared" si="2"/>
        <v>8424.84</v>
      </c>
      <c r="L36" s="288"/>
      <c r="M36" s="288"/>
      <c r="N36" s="288"/>
      <c r="O36" s="291"/>
    </row>
    <row r="37" spans="1:16" ht="18" customHeight="1" x14ac:dyDescent="0.25">
      <c r="A37" s="288"/>
      <c r="B37" s="287">
        <v>42150</v>
      </c>
      <c r="C37" s="288">
        <v>10</v>
      </c>
      <c r="D37" s="289">
        <v>164.85</v>
      </c>
      <c r="E37" s="289">
        <v>0</v>
      </c>
      <c r="F37" s="289">
        <f t="shared" si="3"/>
        <v>1648.5</v>
      </c>
      <c r="G37" s="287">
        <v>42236</v>
      </c>
      <c r="H37" s="288">
        <v>10</v>
      </c>
      <c r="I37" s="289">
        <v>133.19999999999999</v>
      </c>
      <c r="J37" s="289">
        <v>0.02</v>
      </c>
      <c r="K37" s="289">
        <f t="shared" si="2"/>
        <v>1331.98</v>
      </c>
      <c r="L37" s="288"/>
      <c r="M37" s="288"/>
      <c r="N37" s="288"/>
      <c r="O37" s="291"/>
    </row>
    <row r="38" spans="1:16" ht="18" customHeight="1" x14ac:dyDescent="0.25">
      <c r="A38" s="288"/>
      <c r="B38" s="287">
        <v>42186</v>
      </c>
      <c r="C38" s="288">
        <v>145</v>
      </c>
      <c r="D38" s="289">
        <v>166</v>
      </c>
      <c r="E38" s="289">
        <v>0</v>
      </c>
      <c r="F38" s="289">
        <f t="shared" si="3"/>
        <v>24070</v>
      </c>
      <c r="G38" s="287">
        <v>42240</v>
      </c>
      <c r="H38" s="288">
        <v>20</v>
      </c>
      <c r="I38" s="289">
        <v>130</v>
      </c>
      <c r="J38" s="289">
        <v>0.05</v>
      </c>
      <c r="K38" s="289">
        <f t="shared" si="2"/>
        <v>2599.9499999999998</v>
      </c>
      <c r="L38" s="288"/>
      <c r="M38" s="288"/>
      <c r="N38" s="288"/>
      <c r="O38" s="291"/>
    </row>
    <row r="39" spans="1:16" ht="18" customHeight="1" x14ac:dyDescent="0.25">
      <c r="A39" s="288"/>
      <c r="B39" s="287">
        <v>42186</v>
      </c>
      <c r="C39" s="288">
        <v>100</v>
      </c>
      <c r="D39" s="289">
        <v>164</v>
      </c>
      <c r="E39" s="289">
        <v>0</v>
      </c>
      <c r="F39" s="289">
        <f t="shared" si="3"/>
        <v>16400</v>
      </c>
      <c r="G39" s="287">
        <v>42270</v>
      </c>
      <c r="H39" s="288">
        <v>50</v>
      </c>
      <c r="I39" s="289">
        <v>141.19999999999999</v>
      </c>
      <c r="J39" s="289">
        <v>0.13</v>
      </c>
      <c r="K39" s="289">
        <f t="shared" si="2"/>
        <v>7059.869999999999</v>
      </c>
      <c r="L39" s="288"/>
      <c r="M39" s="288"/>
      <c r="N39" s="288"/>
      <c r="O39" s="291"/>
    </row>
    <row r="40" spans="1:16" ht="18" customHeight="1" x14ac:dyDescent="0.25">
      <c r="A40" s="288"/>
      <c r="B40" s="287">
        <v>42235</v>
      </c>
      <c r="C40" s="288">
        <v>10</v>
      </c>
      <c r="D40" s="289">
        <v>124</v>
      </c>
      <c r="E40" s="289">
        <v>0</v>
      </c>
      <c r="F40" s="289">
        <f t="shared" si="3"/>
        <v>1240</v>
      </c>
      <c r="G40" s="287">
        <v>42305</v>
      </c>
      <c r="H40" s="288">
        <v>150</v>
      </c>
      <c r="I40" s="289">
        <v>82</v>
      </c>
      <c r="J40" s="289">
        <v>0.23</v>
      </c>
      <c r="K40" s="289">
        <f t="shared" si="2"/>
        <v>12299.77</v>
      </c>
      <c r="L40" s="288"/>
      <c r="M40" s="288"/>
      <c r="N40" s="288"/>
      <c r="O40" s="291"/>
    </row>
    <row r="41" spans="1:16" ht="18" customHeight="1" x14ac:dyDescent="0.25">
      <c r="A41" s="288"/>
      <c r="B41" s="287">
        <v>42240</v>
      </c>
      <c r="C41" s="288">
        <v>20</v>
      </c>
      <c r="D41" s="289">
        <v>123</v>
      </c>
      <c r="E41" s="289">
        <v>0</v>
      </c>
      <c r="F41" s="289">
        <f t="shared" si="3"/>
        <v>2460</v>
      </c>
      <c r="G41" s="287">
        <v>42307</v>
      </c>
      <c r="H41" s="288">
        <v>120</v>
      </c>
      <c r="I41" s="289">
        <v>85.8</v>
      </c>
      <c r="J41" s="289">
        <v>7.14</v>
      </c>
      <c r="K41" s="289">
        <f t="shared" si="2"/>
        <v>10288.86</v>
      </c>
      <c r="L41" s="288"/>
      <c r="M41" s="288"/>
      <c r="N41" s="288"/>
      <c r="O41" s="288"/>
    </row>
    <row r="42" spans="1:16" ht="18" customHeight="1" x14ac:dyDescent="0.25">
      <c r="A42" s="288"/>
      <c r="B42" s="287">
        <v>42271</v>
      </c>
      <c r="C42" s="288">
        <v>50</v>
      </c>
      <c r="D42" s="289">
        <v>123.05</v>
      </c>
      <c r="E42" s="289">
        <v>0</v>
      </c>
      <c r="F42" s="289">
        <f t="shared" si="3"/>
        <v>6152.5</v>
      </c>
      <c r="G42" s="287">
        <v>42313</v>
      </c>
      <c r="H42" s="288">
        <v>80</v>
      </c>
      <c r="I42" s="289">
        <v>83</v>
      </c>
      <c r="J42" s="289">
        <v>0.12</v>
      </c>
      <c r="K42" s="289">
        <f t="shared" si="2"/>
        <v>6639.88</v>
      </c>
      <c r="L42" s="288"/>
      <c r="M42" s="288"/>
      <c r="N42" s="288"/>
      <c r="O42" s="288"/>
    </row>
    <row r="43" spans="1:16" ht="18" customHeight="1" x14ac:dyDescent="0.25">
      <c r="A43" s="288"/>
      <c r="B43" s="287">
        <v>42271</v>
      </c>
      <c r="C43" s="288">
        <v>50</v>
      </c>
      <c r="D43" s="289">
        <v>138.5</v>
      </c>
      <c r="E43" s="289">
        <v>0</v>
      </c>
      <c r="F43" s="289">
        <f t="shared" si="3"/>
        <v>6925</v>
      </c>
      <c r="G43" s="287">
        <v>42320</v>
      </c>
      <c r="H43" s="288">
        <v>200</v>
      </c>
      <c r="I43" s="289">
        <v>73.5</v>
      </c>
      <c r="J43" s="289">
        <v>0.27</v>
      </c>
      <c r="K43" s="289">
        <f t="shared" si="2"/>
        <v>14699.73</v>
      </c>
      <c r="L43" s="288"/>
      <c r="M43" s="288"/>
      <c r="N43" s="288"/>
      <c r="O43" s="288"/>
    </row>
    <row r="44" spans="1:16" ht="18" customHeight="1" x14ac:dyDescent="0.25">
      <c r="A44" s="288"/>
      <c r="B44" s="287">
        <v>42277</v>
      </c>
      <c r="C44" s="288">
        <v>10</v>
      </c>
      <c r="D44" s="289">
        <v>101.5</v>
      </c>
      <c r="E44" s="289">
        <v>0</v>
      </c>
      <c r="F44" s="289">
        <f t="shared" si="3"/>
        <v>1015</v>
      </c>
      <c r="G44" s="287">
        <v>42327</v>
      </c>
      <c r="H44" s="288">
        <v>200</v>
      </c>
      <c r="I44" s="289">
        <v>73.95</v>
      </c>
      <c r="J44" s="289">
        <v>0.27</v>
      </c>
      <c r="K44" s="289">
        <f t="shared" si="2"/>
        <v>14789.73</v>
      </c>
      <c r="L44" s="288"/>
      <c r="M44" s="288"/>
      <c r="N44" s="288"/>
      <c r="O44" s="288"/>
    </row>
    <row r="45" spans="1:16" ht="18" customHeight="1" x14ac:dyDescent="0.25">
      <c r="A45" s="288"/>
      <c r="B45" s="287">
        <v>42278</v>
      </c>
      <c r="C45" s="288">
        <v>10</v>
      </c>
      <c r="D45" s="289">
        <v>93.95</v>
      </c>
      <c r="E45" s="289">
        <v>0</v>
      </c>
      <c r="F45" s="289">
        <f t="shared" si="3"/>
        <v>939.5</v>
      </c>
      <c r="G45" s="287">
        <v>42339</v>
      </c>
      <c r="H45" s="288">
        <v>60</v>
      </c>
      <c r="I45" s="289">
        <v>89.49</v>
      </c>
      <c r="J45" s="289">
        <v>0.1</v>
      </c>
      <c r="K45" s="289">
        <f t="shared" si="2"/>
        <v>5369.2999999999993</v>
      </c>
      <c r="L45" s="288"/>
      <c r="M45" s="288"/>
      <c r="N45" s="288"/>
      <c r="O45" s="288"/>
    </row>
    <row r="46" spans="1:16" ht="18" customHeight="1" x14ac:dyDescent="0.25">
      <c r="A46" s="288"/>
      <c r="B46" s="287">
        <v>42286</v>
      </c>
      <c r="C46" s="288">
        <v>30</v>
      </c>
      <c r="D46" s="289">
        <v>89.5</v>
      </c>
      <c r="E46" s="289">
        <v>0</v>
      </c>
      <c r="F46" s="289">
        <f t="shared" si="3"/>
        <v>2685</v>
      </c>
      <c r="G46" s="287">
        <v>42340</v>
      </c>
      <c r="H46" s="288">
        <v>60</v>
      </c>
      <c r="I46" s="289">
        <v>93.79</v>
      </c>
      <c r="J46" s="289">
        <v>0.1</v>
      </c>
      <c r="K46" s="289">
        <f t="shared" si="2"/>
        <v>5627.3</v>
      </c>
      <c r="L46" s="288"/>
      <c r="M46" s="288"/>
      <c r="N46" s="288"/>
      <c r="O46" s="288"/>
    </row>
    <row r="47" spans="1:16" ht="18" customHeight="1" x14ac:dyDescent="0.25">
      <c r="A47" s="288"/>
      <c r="B47" s="287">
        <v>42299</v>
      </c>
      <c r="C47" s="288">
        <v>50</v>
      </c>
      <c r="D47" s="289">
        <v>74.3</v>
      </c>
      <c r="E47" s="289">
        <v>0</v>
      </c>
      <c r="F47" s="289">
        <f t="shared" si="3"/>
        <v>3715</v>
      </c>
      <c r="G47" s="287">
        <v>42347</v>
      </c>
      <c r="H47" s="288">
        <v>60</v>
      </c>
      <c r="I47" s="289">
        <v>81.849999999999994</v>
      </c>
      <c r="J47" s="289">
        <v>0.09</v>
      </c>
      <c r="K47" s="289">
        <f t="shared" si="2"/>
        <v>4910.91</v>
      </c>
      <c r="L47" s="288"/>
      <c r="M47" s="288"/>
      <c r="N47" s="288"/>
      <c r="O47" s="288"/>
    </row>
    <row r="48" spans="1:16" ht="18" customHeight="1" x14ac:dyDescent="0.25">
      <c r="A48" s="288"/>
      <c r="B48" s="287">
        <v>42305</v>
      </c>
      <c r="C48" s="288">
        <v>150</v>
      </c>
      <c r="D48" s="289">
        <v>79.5</v>
      </c>
      <c r="E48" s="289">
        <v>0</v>
      </c>
      <c r="F48" s="289">
        <f t="shared" si="3"/>
        <v>11925</v>
      </c>
      <c r="G48" s="287">
        <v>42349</v>
      </c>
      <c r="H48" s="288">
        <v>220</v>
      </c>
      <c r="I48" s="289">
        <v>53.95</v>
      </c>
      <c r="J48" s="289">
        <v>0.22</v>
      </c>
      <c r="K48" s="289">
        <f t="shared" si="2"/>
        <v>11868.78</v>
      </c>
      <c r="L48" s="288"/>
      <c r="M48" s="289"/>
      <c r="N48" s="288"/>
      <c r="O48" s="288"/>
      <c r="P48" s="140"/>
    </row>
    <row r="49" spans="1:16" ht="18" customHeight="1" x14ac:dyDescent="0.25">
      <c r="A49" s="288"/>
      <c r="B49" s="287">
        <v>42310</v>
      </c>
      <c r="C49" s="288">
        <v>120</v>
      </c>
      <c r="D49" s="289">
        <v>82</v>
      </c>
      <c r="E49" s="289">
        <v>6.95</v>
      </c>
      <c r="F49" s="289">
        <f t="shared" si="3"/>
        <v>9846.9500000000007</v>
      </c>
      <c r="G49" s="287">
        <v>42354</v>
      </c>
      <c r="H49" s="288">
        <v>220</v>
      </c>
      <c r="I49" s="289">
        <v>59.47</v>
      </c>
      <c r="J49" s="289">
        <v>0.24</v>
      </c>
      <c r="K49" s="289">
        <f t="shared" si="2"/>
        <v>13083.16</v>
      </c>
      <c r="L49" s="288"/>
      <c r="M49" s="288"/>
      <c r="N49" s="288"/>
      <c r="O49" s="288"/>
      <c r="P49" s="140"/>
    </row>
    <row r="50" spans="1:16" ht="18" customHeight="1" x14ac:dyDescent="0.25">
      <c r="A50" s="288"/>
      <c r="B50" s="287">
        <v>42318</v>
      </c>
      <c r="C50" s="288">
        <v>80</v>
      </c>
      <c r="D50" s="289">
        <v>77.12</v>
      </c>
      <c r="E50" s="289">
        <v>0</v>
      </c>
      <c r="F50" s="289">
        <f t="shared" si="3"/>
        <v>6169.6</v>
      </c>
      <c r="G50" s="287"/>
      <c r="H50" s="288"/>
      <c r="I50" s="289"/>
      <c r="J50" s="289"/>
      <c r="K50" s="289"/>
      <c r="L50" s="288"/>
      <c r="M50" s="288"/>
      <c r="N50" s="288"/>
      <c r="O50" s="288"/>
      <c r="P50" s="140" t="s">
        <v>133</v>
      </c>
    </row>
    <row r="51" spans="1:16" ht="18" customHeight="1" x14ac:dyDescent="0.25">
      <c r="A51" s="288"/>
      <c r="B51" s="287">
        <v>42320</v>
      </c>
      <c r="C51" s="288">
        <v>200</v>
      </c>
      <c r="D51" s="289">
        <v>73.010000000000005</v>
      </c>
      <c r="E51" s="289">
        <v>0</v>
      </c>
      <c r="F51" s="289">
        <f t="shared" si="3"/>
        <v>14602.000000000002</v>
      </c>
      <c r="G51" s="287"/>
      <c r="H51" s="288"/>
      <c r="I51" s="289"/>
      <c r="J51" s="289"/>
      <c r="K51" s="289"/>
      <c r="L51" s="288"/>
      <c r="M51" s="288"/>
      <c r="N51" s="288"/>
      <c r="O51" s="288"/>
    </row>
    <row r="52" spans="1:16" ht="18" customHeight="1" x14ac:dyDescent="0.25">
      <c r="A52" s="288"/>
      <c r="B52" s="287">
        <v>42327</v>
      </c>
      <c r="C52" s="288">
        <v>200</v>
      </c>
      <c r="D52" s="289">
        <v>73.11</v>
      </c>
      <c r="E52" s="289">
        <v>0</v>
      </c>
      <c r="F52" s="289">
        <f t="shared" si="3"/>
        <v>14622</v>
      </c>
      <c r="G52" s="288"/>
      <c r="H52" s="288"/>
      <c r="I52" s="289"/>
      <c r="J52" s="289"/>
      <c r="K52" s="289"/>
      <c r="L52" s="288"/>
      <c r="M52" s="288"/>
      <c r="N52" s="288"/>
      <c r="O52" s="288"/>
    </row>
    <row r="53" spans="1:16" ht="18" customHeight="1" x14ac:dyDescent="0.25">
      <c r="A53" s="288"/>
      <c r="B53" s="287">
        <v>42339</v>
      </c>
      <c r="C53" s="288">
        <v>60</v>
      </c>
      <c r="D53" s="289">
        <v>89.38</v>
      </c>
      <c r="E53" s="289">
        <v>0</v>
      </c>
      <c r="F53" s="289">
        <f t="shared" si="3"/>
        <v>5362.7999999999993</v>
      </c>
      <c r="G53" s="288"/>
      <c r="H53" s="288"/>
      <c r="I53" s="289"/>
      <c r="J53" s="289"/>
      <c r="K53" s="289"/>
      <c r="L53" s="288"/>
      <c r="M53" s="288"/>
      <c r="N53" s="288"/>
      <c r="O53" s="288"/>
    </row>
    <row r="54" spans="1:16" ht="18" customHeight="1" x14ac:dyDescent="0.25">
      <c r="A54" s="288"/>
      <c r="B54" s="287">
        <v>42340</v>
      </c>
      <c r="C54" s="288">
        <v>60</v>
      </c>
      <c r="D54" s="289">
        <v>93.06</v>
      </c>
      <c r="E54" s="289">
        <v>0</v>
      </c>
      <c r="F54" s="289">
        <f t="shared" si="3"/>
        <v>5583.6</v>
      </c>
      <c r="G54" s="288"/>
      <c r="H54" s="288"/>
      <c r="I54" s="289"/>
      <c r="J54" s="289"/>
      <c r="K54" s="289"/>
      <c r="L54" s="288"/>
      <c r="M54" s="288"/>
      <c r="N54" s="288"/>
      <c r="O54" s="288"/>
    </row>
    <row r="55" spans="1:16" ht="18" customHeight="1" x14ac:dyDescent="0.25">
      <c r="A55" s="288"/>
      <c r="B55" s="287">
        <v>42342</v>
      </c>
      <c r="C55" s="288">
        <v>10</v>
      </c>
      <c r="D55" s="289">
        <v>80.989999999999995</v>
      </c>
      <c r="E55" s="289">
        <v>0</v>
      </c>
      <c r="F55" s="289">
        <f>C55*D55+E55</f>
        <v>809.9</v>
      </c>
      <c r="G55" s="288"/>
      <c r="H55" s="288"/>
      <c r="I55" s="289"/>
      <c r="J55" s="289"/>
      <c r="K55" s="289"/>
      <c r="L55" s="288"/>
      <c r="M55" s="288"/>
      <c r="N55" s="288"/>
      <c r="O55" s="288"/>
    </row>
    <row r="56" spans="1:16" ht="18" customHeight="1" x14ac:dyDescent="0.25">
      <c r="A56" s="288"/>
      <c r="B56" s="287">
        <v>42348</v>
      </c>
      <c r="C56" s="288">
        <v>70</v>
      </c>
      <c r="D56" s="289">
        <v>58.01</v>
      </c>
      <c r="E56" s="289">
        <v>0</v>
      </c>
      <c r="F56" s="289">
        <f>C56*D56+E56</f>
        <v>4060.7</v>
      </c>
      <c r="G56" s="288"/>
      <c r="H56" s="288"/>
      <c r="I56" s="289"/>
      <c r="J56" s="289"/>
      <c r="K56" s="289"/>
      <c r="L56" s="288"/>
      <c r="M56" s="288"/>
      <c r="N56" s="288"/>
      <c r="O56" s="288"/>
    </row>
    <row r="57" spans="1:16" ht="18" customHeight="1" x14ac:dyDescent="0.25">
      <c r="A57" s="288"/>
      <c r="B57" s="287">
        <v>42354</v>
      </c>
      <c r="C57" s="288">
        <v>220</v>
      </c>
      <c r="D57" s="289">
        <v>59.15</v>
      </c>
      <c r="E57" s="289">
        <v>0</v>
      </c>
      <c r="F57" s="289">
        <f>C57*D57+E57</f>
        <v>13013</v>
      </c>
      <c r="G57" s="288"/>
      <c r="H57" s="288"/>
      <c r="I57" s="289"/>
      <c r="J57" s="289"/>
      <c r="K57" s="289"/>
      <c r="L57" s="288"/>
      <c r="M57" s="288"/>
      <c r="N57" s="288"/>
      <c r="O57" s="288"/>
    </row>
    <row r="58" spans="1:16" ht="18" customHeight="1" x14ac:dyDescent="0.25">
      <c r="A58" s="291"/>
      <c r="B58" s="291"/>
      <c r="C58" s="291">
        <f>SUM(C34:C57)</f>
        <v>1700</v>
      </c>
      <c r="D58" s="294"/>
      <c r="E58" s="294"/>
      <c r="F58" s="294">
        <f>SUM(F34:F57)</f>
        <v>160718.04999999999</v>
      </c>
      <c r="G58" s="291"/>
      <c r="H58" s="291">
        <f>SUM(H34:H53)</f>
        <v>1700</v>
      </c>
      <c r="I58" s="294"/>
      <c r="J58" s="294"/>
      <c r="K58" s="294">
        <f>SUM(K34:K53)</f>
        <v>152393.44000000003</v>
      </c>
      <c r="L58" s="291"/>
      <c r="M58" s="291"/>
      <c r="N58" s="294">
        <f>K58-F58</f>
        <v>-8324.6099999999569</v>
      </c>
      <c r="O58" s="296">
        <f>N58/F58</f>
        <v>-5.1796360147475393E-2</v>
      </c>
    </row>
    <row r="59" spans="1:16" ht="18" customHeight="1" x14ac:dyDescent="0.25">
      <c r="B59" s="312"/>
      <c r="C59" s="313"/>
      <c r="D59" s="314"/>
      <c r="E59" s="314"/>
      <c r="F59" s="314"/>
      <c r="G59" s="312"/>
      <c r="H59" s="313"/>
      <c r="I59" s="314"/>
      <c r="K59" s="314"/>
      <c r="L59" s="312"/>
      <c r="M59" s="314"/>
      <c r="N59" s="314"/>
      <c r="O59" s="315"/>
      <c r="P59" s="140" t="s">
        <v>133</v>
      </c>
    </row>
    <row r="60" spans="1:16" ht="18" customHeight="1" x14ac:dyDescent="0.25">
      <c r="A60" s="297" t="s">
        <v>30</v>
      </c>
      <c r="B60" s="298">
        <v>42164</v>
      </c>
      <c r="C60" s="299">
        <v>10</v>
      </c>
      <c r="D60" s="300">
        <v>141.4</v>
      </c>
      <c r="E60" s="300"/>
      <c r="F60" s="300">
        <f>C60*D60</f>
        <v>1414</v>
      </c>
      <c r="G60" s="298">
        <v>42216</v>
      </c>
      <c r="H60" s="299">
        <v>10</v>
      </c>
      <c r="I60" s="300">
        <v>143.35</v>
      </c>
      <c r="J60" s="300">
        <v>0.03</v>
      </c>
      <c r="K60" s="300">
        <f>H60*I60-J60</f>
        <v>1433.47</v>
      </c>
      <c r="L60" s="301"/>
      <c r="M60" s="300"/>
      <c r="N60" s="300"/>
      <c r="O60" s="302"/>
    </row>
    <row r="61" spans="1:16" ht="18" customHeight="1" x14ac:dyDescent="0.25">
      <c r="A61" s="316"/>
      <c r="B61" s="317"/>
      <c r="C61" s="318">
        <f>SUM(C60)</f>
        <v>10</v>
      </c>
      <c r="D61" s="319"/>
      <c r="E61" s="319"/>
      <c r="F61" s="319">
        <f>SUM(F60)</f>
        <v>1414</v>
      </c>
      <c r="G61" s="320"/>
      <c r="H61" s="318">
        <f>SUM(H60)</f>
        <v>10</v>
      </c>
      <c r="I61" s="319"/>
      <c r="J61" s="318"/>
      <c r="K61" s="319">
        <f>SUM(K60)</f>
        <v>1433.47</v>
      </c>
      <c r="L61" s="320"/>
      <c r="M61" s="319"/>
      <c r="N61" s="319">
        <f>K61-F61</f>
        <v>19.470000000000027</v>
      </c>
      <c r="O61" s="321">
        <f>(N61+M61)/F61</f>
        <v>1.3769448373408788E-2</v>
      </c>
    </row>
    <row r="62" spans="1:16" ht="18" customHeight="1" x14ac:dyDescent="0.25">
      <c r="B62" s="312"/>
      <c r="C62" s="313"/>
      <c r="D62" s="314"/>
      <c r="E62" s="25"/>
      <c r="F62" s="314"/>
      <c r="G62" s="312"/>
      <c r="H62" s="313"/>
      <c r="I62" s="314"/>
      <c r="K62" s="314"/>
      <c r="L62" s="312"/>
      <c r="M62" s="314"/>
      <c r="N62" s="314"/>
      <c r="O62" s="315"/>
    </row>
    <row r="63" spans="1:16" ht="18" customHeight="1" x14ac:dyDescent="0.25">
      <c r="A63" s="297" t="s">
        <v>52</v>
      </c>
      <c r="B63" s="298">
        <v>42213</v>
      </c>
      <c r="C63" s="299">
        <v>25</v>
      </c>
      <c r="D63" s="300">
        <v>84.9</v>
      </c>
      <c r="E63" s="301"/>
      <c r="F63" s="300">
        <v>2122.5</v>
      </c>
      <c r="G63" s="298">
        <v>42221</v>
      </c>
      <c r="H63" s="299">
        <v>30</v>
      </c>
      <c r="I63" s="300">
        <v>84.23</v>
      </c>
      <c r="J63" s="300">
        <v>0</v>
      </c>
      <c r="K63" s="300">
        <v>2526.85</v>
      </c>
      <c r="L63" s="301"/>
      <c r="M63" s="300"/>
      <c r="N63" s="300"/>
      <c r="O63" s="302"/>
    </row>
    <row r="64" spans="1:16" ht="18" customHeight="1" x14ac:dyDescent="0.25">
      <c r="A64" s="297"/>
      <c r="B64" s="298">
        <v>42213</v>
      </c>
      <c r="C64" s="299">
        <v>5</v>
      </c>
      <c r="D64" s="300">
        <v>84.25</v>
      </c>
      <c r="E64" s="301"/>
      <c r="F64" s="300">
        <v>421.25</v>
      </c>
      <c r="G64" s="298">
        <v>42263</v>
      </c>
      <c r="H64" s="299">
        <v>40</v>
      </c>
      <c r="I64" s="300">
        <v>85</v>
      </c>
      <c r="J64" s="299">
        <v>0.06</v>
      </c>
      <c r="K64" s="300">
        <v>3399.94</v>
      </c>
      <c r="L64" s="301"/>
      <c r="M64" s="300"/>
      <c r="N64" s="300"/>
      <c r="O64" s="302"/>
    </row>
    <row r="65" spans="1:16" ht="18" customHeight="1" x14ac:dyDescent="0.25">
      <c r="A65" s="297"/>
      <c r="B65" s="298">
        <v>42214</v>
      </c>
      <c r="C65" s="299">
        <v>10</v>
      </c>
      <c r="D65" s="300">
        <v>83.2</v>
      </c>
      <c r="E65" s="301"/>
      <c r="F65" s="300">
        <v>832</v>
      </c>
      <c r="G65" s="301"/>
      <c r="H65" s="299"/>
      <c r="I65" s="300"/>
      <c r="J65" s="299"/>
      <c r="K65" s="300"/>
      <c r="L65" s="301"/>
      <c r="M65" s="300"/>
      <c r="N65" s="300"/>
      <c r="O65" s="302"/>
    </row>
    <row r="66" spans="1:16" ht="18" customHeight="1" x14ac:dyDescent="0.25">
      <c r="A66" s="297"/>
      <c r="B66" s="298">
        <v>42215</v>
      </c>
      <c r="C66" s="299">
        <v>5</v>
      </c>
      <c r="D66" s="300">
        <v>82.25</v>
      </c>
      <c r="E66" s="301"/>
      <c r="F66" s="300">
        <v>411.25</v>
      </c>
      <c r="G66" s="301"/>
      <c r="H66" s="299"/>
      <c r="I66" s="300"/>
      <c r="J66" s="299"/>
      <c r="K66" s="300"/>
      <c r="L66" s="301"/>
      <c r="M66" s="300"/>
      <c r="N66" s="300"/>
      <c r="O66" s="302"/>
    </row>
    <row r="67" spans="1:16" ht="18" customHeight="1" x14ac:dyDescent="0.25">
      <c r="A67" s="297"/>
      <c r="B67" s="298">
        <v>42220</v>
      </c>
      <c r="C67" s="299">
        <v>10</v>
      </c>
      <c r="D67" s="300">
        <v>81.349999999999994</v>
      </c>
      <c r="E67" s="301"/>
      <c r="F67" s="300">
        <v>813.5</v>
      </c>
      <c r="G67" s="301"/>
      <c r="H67" s="299"/>
      <c r="I67" s="300"/>
      <c r="J67" s="299"/>
      <c r="K67" s="300"/>
      <c r="L67" s="301"/>
      <c r="M67" s="300"/>
      <c r="N67" s="300"/>
      <c r="O67" s="302"/>
    </row>
    <row r="68" spans="1:16" ht="18" customHeight="1" x14ac:dyDescent="0.25">
      <c r="A68" s="297"/>
      <c r="B68" s="298">
        <v>42220</v>
      </c>
      <c r="C68" s="299">
        <v>5</v>
      </c>
      <c r="D68" s="300">
        <v>82.4</v>
      </c>
      <c r="E68" s="301"/>
      <c r="F68" s="300">
        <v>412</v>
      </c>
      <c r="G68" s="301"/>
      <c r="H68" s="299"/>
      <c r="I68" s="300"/>
      <c r="J68" s="299"/>
      <c r="K68" s="300"/>
      <c r="L68" s="301"/>
      <c r="M68" s="300"/>
      <c r="N68" s="300"/>
      <c r="O68" s="302"/>
    </row>
    <row r="69" spans="1:16" ht="18" customHeight="1" x14ac:dyDescent="0.25">
      <c r="A69" s="297"/>
      <c r="B69" s="298">
        <v>42221</v>
      </c>
      <c r="C69" s="299">
        <v>10</v>
      </c>
      <c r="D69" s="300">
        <v>80.7</v>
      </c>
      <c r="E69" s="301"/>
      <c r="F69" s="300">
        <v>807</v>
      </c>
      <c r="G69" s="301"/>
      <c r="H69" s="299"/>
      <c r="I69" s="300"/>
      <c r="J69" s="299"/>
      <c r="K69" s="300"/>
      <c r="L69" s="301"/>
      <c r="M69" s="300"/>
      <c r="N69" s="300"/>
      <c r="O69" s="302"/>
    </row>
    <row r="70" spans="1:16" ht="18" customHeight="1" x14ac:dyDescent="0.25">
      <c r="A70" s="316"/>
      <c r="B70" s="320"/>
      <c r="C70" s="318">
        <v>70</v>
      </c>
      <c r="D70" s="319"/>
      <c r="E70" s="320"/>
      <c r="F70" s="319">
        <f>SUM(F63:F69)</f>
        <v>5819.5</v>
      </c>
      <c r="G70" s="320"/>
      <c r="H70" s="318">
        <v>70</v>
      </c>
      <c r="I70" s="319"/>
      <c r="J70" s="318"/>
      <c r="K70" s="319">
        <f>SUM(K63:K64)</f>
        <v>5926.79</v>
      </c>
      <c r="L70" s="320"/>
      <c r="M70" s="319"/>
      <c r="N70" s="319">
        <f>K70-F70</f>
        <v>107.28999999999996</v>
      </c>
      <c r="O70" s="321">
        <f>N70/F70</f>
        <v>1.843629177764412E-2</v>
      </c>
    </row>
    <row r="71" spans="1:16" ht="18" customHeight="1" x14ac:dyDescent="0.25">
      <c r="B71" s="312"/>
      <c r="C71" s="313"/>
      <c r="D71" s="314"/>
      <c r="E71" s="314"/>
      <c r="F71" s="314"/>
      <c r="G71" s="312"/>
      <c r="H71" s="313"/>
      <c r="I71" s="314"/>
      <c r="K71" s="314"/>
      <c r="L71" s="312"/>
      <c r="M71" s="314"/>
      <c r="N71" s="314"/>
      <c r="O71" s="315"/>
    </row>
    <row r="72" spans="1:16" ht="18" customHeight="1" x14ac:dyDescent="0.25">
      <c r="A72" s="297" t="s">
        <v>8</v>
      </c>
      <c r="B72" s="298">
        <v>42145</v>
      </c>
      <c r="C72" s="299">
        <v>50</v>
      </c>
      <c r="D72" s="300">
        <v>61.7</v>
      </c>
      <c r="E72" s="300"/>
      <c r="F72" s="300">
        <f t="shared" ref="F72:F82" si="4">C72*D72</f>
        <v>3085</v>
      </c>
      <c r="G72" s="298">
        <v>42187</v>
      </c>
      <c r="H72" s="299">
        <v>300</v>
      </c>
      <c r="I72" s="300">
        <v>57.78</v>
      </c>
      <c r="J72" s="300">
        <v>0.32</v>
      </c>
      <c r="K72" s="300">
        <f>H72*I72-J72</f>
        <v>17333.68</v>
      </c>
      <c r="L72" s="298">
        <v>42185</v>
      </c>
      <c r="M72" s="300">
        <v>44.61</v>
      </c>
      <c r="N72" s="300"/>
      <c r="O72" s="302"/>
      <c r="P72" s="140" t="s">
        <v>133</v>
      </c>
    </row>
    <row r="73" spans="1:16" ht="18" customHeight="1" x14ac:dyDescent="0.25">
      <c r="A73" s="297"/>
      <c r="B73" s="298">
        <v>42146</v>
      </c>
      <c r="C73" s="299">
        <v>10</v>
      </c>
      <c r="D73" s="300">
        <v>61.37</v>
      </c>
      <c r="E73" s="300"/>
      <c r="F73" s="300">
        <f t="shared" si="4"/>
        <v>613.69999999999993</v>
      </c>
      <c r="G73" s="298">
        <v>42216</v>
      </c>
      <c r="H73" s="299">
        <v>300</v>
      </c>
      <c r="I73" s="300">
        <v>62</v>
      </c>
      <c r="J73" s="299">
        <v>0.34</v>
      </c>
      <c r="K73" s="300">
        <f>H73*I73-J73</f>
        <v>18599.66</v>
      </c>
      <c r="L73" s="301"/>
      <c r="M73" s="300"/>
      <c r="N73" s="300"/>
      <c r="O73" s="302"/>
    </row>
    <row r="74" spans="1:16" ht="18" customHeight="1" x14ac:dyDescent="0.25">
      <c r="A74" s="297"/>
      <c r="B74" s="298">
        <v>42146</v>
      </c>
      <c r="C74" s="299">
        <v>20</v>
      </c>
      <c r="D74" s="300">
        <v>61.12</v>
      </c>
      <c r="E74" s="300"/>
      <c r="F74" s="300">
        <f t="shared" si="4"/>
        <v>1222.3999999999999</v>
      </c>
      <c r="G74" s="301"/>
      <c r="H74" s="299"/>
      <c r="I74" s="300"/>
      <c r="J74" s="300"/>
      <c r="K74" s="300"/>
      <c r="L74" s="301"/>
      <c r="M74" s="300"/>
      <c r="N74" s="300"/>
      <c r="O74" s="302"/>
    </row>
    <row r="75" spans="1:16" ht="18" customHeight="1" x14ac:dyDescent="0.25">
      <c r="A75" s="297"/>
      <c r="B75" s="298">
        <v>42146</v>
      </c>
      <c r="C75" s="299">
        <v>20</v>
      </c>
      <c r="D75" s="300">
        <v>61.1</v>
      </c>
      <c r="E75" s="300"/>
      <c r="F75" s="300">
        <f t="shared" si="4"/>
        <v>1222</v>
      </c>
      <c r="G75" s="301"/>
      <c r="H75" s="299"/>
      <c r="I75" s="300"/>
      <c r="J75" s="299"/>
      <c r="K75" s="300"/>
      <c r="L75" s="301"/>
      <c r="M75" s="300"/>
      <c r="N75" s="300"/>
      <c r="O75" s="302"/>
    </row>
    <row r="76" spans="1:16" ht="18" customHeight="1" x14ac:dyDescent="0.25">
      <c r="A76" s="297"/>
      <c r="B76" s="298">
        <v>42146</v>
      </c>
      <c r="C76" s="299">
        <v>10</v>
      </c>
      <c r="D76" s="300">
        <v>60.8</v>
      </c>
      <c r="E76" s="300"/>
      <c r="F76" s="300">
        <f t="shared" si="4"/>
        <v>608</v>
      </c>
      <c r="G76" s="301"/>
      <c r="H76" s="299"/>
      <c r="I76" s="300"/>
      <c r="J76" s="300"/>
      <c r="K76" s="300"/>
      <c r="L76" s="301"/>
      <c r="M76" s="300"/>
      <c r="N76" s="300"/>
      <c r="O76" s="302"/>
    </row>
    <row r="77" spans="1:16" ht="18" customHeight="1" x14ac:dyDescent="0.25">
      <c r="A77" s="297"/>
      <c r="B77" s="298">
        <v>42146</v>
      </c>
      <c r="C77" s="299">
        <v>20</v>
      </c>
      <c r="D77" s="300">
        <v>60.7</v>
      </c>
      <c r="E77" s="300"/>
      <c r="F77" s="300">
        <f t="shared" si="4"/>
        <v>1214</v>
      </c>
      <c r="G77" s="301"/>
      <c r="H77" s="299"/>
      <c r="I77" s="300"/>
      <c r="J77" s="300"/>
      <c r="K77" s="300"/>
      <c r="L77" s="301"/>
      <c r="M77" s="300"/>
      <c r="N77" s="300"/>
      <c r="O77" s="302"/>
      <c r="P77" s="140" t="s">
        <v>133</v>
      </c>
    </row>
    <row r="78" spans="1:16" ht="18" customHeight="1" x14ac:dyDescent="0.25">
      <c r="A78" s="297"/>
      <c r="B78" s="298">
        <v>42150</v>
      </c>
      <c r="C78" s="299">
        <v>20</v>
      </c>
      <c r="D78" s="300">
        <v>60.6</v>
      </c>
      <c r="E78" s="300"/>
      <c r="F78" s="300">
        <f t="shared" si="4"/>
        <v>1212</v>
      </c>
      <c r="G78" s="301"/>
      <c r="H78" s="299"/>
      <c r="I78" s="300"/>
      <c r="J78" s="300"/>
      <c r="K78" s="300"/>
      <c r="L78" s="301"/>
      <c r="M78" s="300"/>
      <c r="N78" s="300"/>
      <c r="O78" s="302"/>
    </row>
    <row r="79" spans="1:16" ht="18" customHeight="1" x14ac:dyDescent="0.25">
      <c r="A79" s="297"/>
      <c r="B79" s="298">
        <v>42152</v>
      </c>
      <c r="C79" s="299">
        <v>30</v>
      </c>
      <c r="D79" s="300">
        <v>60.33</v>
      </c>
      <c r="E79" s="300"/>
      <c r="F79" s="300">
        <f t="shared" si="4"/>
        <v>1809.8999999999999</v>
      </c>
      <c r="G79" s="301"/>
      <c r="H79" s="299"/>
      <c r="I79" s="300"/>
      <c r="J79" s="300"/>
      <c r="K79" s="300"/>
      <c r="L79" s="301"/>
      <c r="M79" s="300"/>
      <c r="N79" s="300"/>
      <c r="O79" s="302"/>
    </row>
    <row r="80" spans="1:16" ht="18" customHeight="1" x14ac:dyDescent="0.25">
      <c r="A80" s="297"/>
      <c r="B80" s="298">
        <v>42152</v>
      </c>
      <c r="C80" s="299">
        <v>30</v>
      </c>
      <c r="D80" s="300">
        <v>60.39</v>
      </c>
      <c r="E80" s="300"/>
      <c r="F80" s="300">
        <f t="shared" si="4"/>
        <v>1811.7</v>
      </c>
      <c r="G80" s="301"/>
      <c r="H80" s="299"/>
      <c r="I80" s="300"/>
      <c r="J80" s="300"/>
      <c r="K80" s="300"/>
      <c r="L80" s="301"/>
      <c r="M80" s="300"/>
      <c r="N80" s="300"/>
      <c r="O80" s="302"/>
    </row>
    <row r="81" spans="1:16" ht="18" customHeight="1" x14ac:dyDescent="0.25">
      <c r="A81" s="297"/>
      <c r="B81" s="298">
        <v>42166</v>
      </c>
      <c r="C81" s="299">
        <v>100</v>
      </c>
      <c r="D81" s="300">
        <v>58</v>
      </c>
      <c r="E81" s="300"/>
      <c r="F81" s="300">
        <f t="shared" si="4"/>
        <v>5800</v>
      </c>
      <c r="G81" s="301"/>
      <c r="H81" s="299"/>
      <c r="I81" s="300"/>
      <c r="J81" s="300"/>
      <c r="K81" s="300"/>
      <c r="L81" s="301"/>
      <c r="M81" s="300"/>
      <c r="N81" s="300"/>
      <c r="O81" s="302"/>
    </row>
    <row r="82" spans="1:16" ht="18" customHeight="1" x14ac:dyDescent="0.25">
      <c r="A82" s="297"/>
      <c r="B82" s="298">
        <v>42187</v>
      </c>
      <c r="C82" s="299">
        <v>290</v>
      </c>
      <c r="D82" s="300">
        <v>57.85</v>
      </c>
      <c r="E82" s="300"/>
      <c r="F82" s="300">
        <f t="shared" si="4"/>
        <v>16776.5</v>
      </c>
      <c r="G82" s="301"/>
      <c r="H82" s="299"/>
      <c r="I82" s="300"/>
      <c r="J82" s="300"/>
      <c r="K82" s="300"/>
      <c r="L82" s="301"/>
      <c r="M82" s="300"/>
      <c r="N82" s="300"/>
      <c r="O82" s="302"/>
    </row>
    <row r="83" spans="1:16" ht="18" customHeight="1" x14ac:dyDescent="0.25">
      <c r="A83" s="297"/>
      <c r="B83" s="303"/>
      <c r="C83" s="304">
        <f>SUM(C72:C82)</f>
        <v>600</v>
      </c>
      <c r="D83" s="305"/>
      <c r="E83" s="305"/>
      <c r="F83" s="305">
        <f>SUM(F72:F82)</f>
        <v>35375.199999999997</v>
      </c>
      <c r="G83" s="306"/>
      <c r="H83" s="304">
        <f>SUM(H72:H82)</f>
        <v>600</v>
      </c>
      <c r="I83" s="305"/>
      <c r="J83" s="305"/>
      <c r="K83" s="305">
        <f>SUM(K72:K82)</f>
        <v>35933.339999999997</v>
      </c>
      <c r="L83" s="306"/>
      <c r="M83" s="305">
        <f>SUM(M72:M82)</f>
        <v>44.61</v>
      </c>
      <c r="N83" s="305">
        <f>K83-F83</f>
        <v>558.13999999999942</v>
      </c>
      <c r="O83" s="307">
        <f>(N83+M83)/F83</f>
        <v>1.7038772925665423E-2</v>
      </c>
      <c r="P83" s="140" t="s">
        <v>133</v>
      </c>
    </row>
    <row r="84" spans="1:16" ht="18" customHeight="1" x14ac:dyDescent="0.25">
      <c r="B84" s="312"/>
      <c r="C84" s="313"/>
      <c r="D84" s="314"/>
      <c r="E84" s="25"/>
      <c r="F84" s="314"/>
      <c r="G84" s="312"/>
      <c r="H84" s="313"/>
      <c r="I84" s="314"/>
      <c r="J84" s="314"/>
      <c r="K84" s="314"/>
      <c r="L84" s="312"/>
      <c r="M84" s="314"/>
      <c r="N84" s="314"/>
      <c r="O84" s="315"/>
    </row>
    <row r="85" spans="1:16" ht="18" customHeight="1" x14ac:dyDescent="0.25">
      <c r="A85" s="297" t="s">
        <v>40</v>
      </c>
      <c r="B85" s="298">
        <v>42184</v>
      </c>
      <c r="C85" s="299">
        <v>20</v>
      </c>
      <c r="D85" s="300">
        <v>164.18</v>
      </c>
      <c r="E85" s="300"/>
      <c r="F85" s="300">
        <f>C85*D85</f>
        <v>3283.6000000000004</v>
      </c>
      <c r="G85" s="298">
        <v>42216</v>
      </c>
      <c r="H85" s="299">
        <v>20</v>
      </c>
      <c r="I85" s="300">
        <v>158</v>
      </c>
      <c r="J85" s="300">
        <v>0.06</v>
      </c>
      <c r="K85" s="300">
        <f>H85*I85-J85</f>
        <v>3159.94</v>
      </c>
      <c r="L85" s="301"/>
      <c r="M85" s="300"/>
      <c r="N85" s="300"/>
      <c r="O85" s="299"/>
    </row>
    <row r="86" spans="1:16" ht="18" customHeight="1" x14ac:dyDescent="0.25">
      <c r="A86" s="297"/>
      <c r="B86" s="298">
        <v>42209</v>
      </c>
      <c r="C86" s="299">
        <v>10</v>
      </c>
      <c r="D86" s="300">
        <v>148</v>
      </c>
      <c r="E86" s="300"/>
      <c r="F86" s="300">
        <f>C86*D86</f>
        <v>1480</v>
      </c>
      <c r="G86" s="298">
        <v>42235</v>
      </c>
      <c r="H86" s="299">
        <v>20</v>
      </c>
      <c r="I86" s="300">
        <v>159.80000000000001</v>
      </c>
      <c r="J86" s="300">
        <v>0.06</v>
      </c>
      <c r="K86" s="300">
        <f>H86*I86-J86</f>
        <v>3195.94</v>
      </c>
      <c r="L86" s="301"/>
      <c r="M86" s="300"/>
      <c r="N86" s="300"/>
      <c r="O86" s="299"/>
    </row>
    <row r="87" spans="1:16" ht="18" customHeight="1" x14ac:dyDescent="0.25">
      <c r="A87" s="297"/>
      <c r="B87" s="298">
        <v>42209</v>
      </c>
      <c r="C87" s="299">
        <v>10</v>
      </c>
      <c r="D87" s="300">
        <v>146.69999999999999</v>
      </c>
      <c r="E87" s="300"/>
      <c r="F87" s="300">
        <f>C87*D87</f>
        <v>1467</v>
      </c>
      <c r="G87" s="301"/>
      <c r="H87" s="299"/>
      <c r="I87" s="300"/>
      <c r="J87" s="300"/>
      <c r="K87" s="300"/>
      <c r="L87" s="301"/>
      <c r="M87" s="300"/>
      <c r="N87" s="300"/>
      <c r="O87" s="299"/>
      <c r="P87" s="140" t="s">
        <v>133</v>
      </c>
    </row>
    <row r="88" spans="1:16" ht="18" customHeight="1" x14ac:dyDescent="0.25">
      <c r="A88" s="297"/>
      <c r="B88" s="306"/>
      <c r="C88" s="304">
        <f>SUM(C85:C87)</f>
        <v>40</v>
      </c>
      <c r="D88" s="305"/>
      <c r="E88" s="305"/>
      <c r="F88" s="305">
        <f>SUM(F85:F87)</f>
        <v>6230.6</v>
      </c>
      <c r="G88" s="306"/>
      <c r="H88" s="304">
        <f>SUM(H85:H87)</f>
        <v>40</v>
      </c>
      <c r="I88" s="305"/>
      <c r="J88" s="305"/>
      <c r="K88" s="305">
        <f>SUM(K85:K87)</f>
        <v>6355.88</v>
      </c>
      <c r="L88" s="306"/>
      <c r="M88" s="305"/>
      <c r="N88" s="305">
        <f>K88-F88</f>
        <v>125.27999999999975</v>
      </c>
      <c r="O88" s="307">
        <f>(N88+M88)/F88</f>
        <v>2.0107212788495449E-2</v>
      </c>
      <c r="P88" s="140"/>
    </row>
    <row r="89" spans="1:16" ht="18" customHeight="1" x14ac:dyDescent="0.25">
      <c r="B89" s="312"/>
      <c r="C89" s="313"/>
      <c r="D89" s="314"/>
      <c r="E89" s="314"/>
      <c r="F89" s="314"/>
      <c r="G89" s="312"/>
      <c r="H89" s="313"/>
      <c r="I89" s="314"/>
      <c r="J89" s="314"/>
      <c r="K89" s="314"/>
      <c r="L89" s="312"/>
      <c r="M89" s="314"/>
      <c r="N89" s="314"/>
      <c r="O89" s="315"/>
      <c r="P89" s="140"/>
    </row>
    <row r="90" spans="1:16" ht="18" customHeight="1" x14ac:dyDescent="0.25">
      <c r="A90" s="297" t="s">
        <v>19</v>
      </c>
      <c r="B90" s="298">
        <v>42152</v>
      </c>
      <c r="C90" s="299">
        <v>5</v>
      </c>
      <c r="D90" s="300">
        <v>35.049999999999997</v>
      </c>
      <c r="E90" s="300"/>
      <c r="F90" s="300">
        <v>175.25</v>
      </c>
      <c r="G90" s="298">
        <v>42206</v>
      </c>
      <c r="H90" s="299">
        <v>39</v>
      </c>
      <c r="I90" s="300">
        <v>35.65</v>
      </c>
      <c r="J90" s="299">
        <v>0.03</v>
      </c>
      <c r="K90" s="300">
        <f>H90*I90-J90</f>
        <v>1390.32</v>
      </c>
      <c r="L90" s="298">
        <v>42170</v>
      </c>
      <c r="M90" s="300">
        <v>7.73</v>
      </c>
      <c r="N90" s="300"/>
      <c r="O90" s="302"/>
      <c r="P90" s="140" t="s">
        <v>133</v>
      </c>
    </row>
    <row r="91" spans="1:16" ht="18" customHeight="1" x14ac:dyDescent="0.25">
      <c r="A91" s="297"/>
      <c r="B91" s="298">
        <v>42153</v>
      </c>
      <c r="C91" s="299">
        <v>25</v>
      </c>
      <c r="D91" s="300">
        <v>34.4</v>
      </c>
      <c r="E91" s="301"/>
      <c r="F91" s="300">
        <v>860</v>
      </c>
      <c r="G91" s="298">
        <v>42264</v>
      </c>
      <c r="H91" s="299">
        <v>51</v>
      </c>
      <c r="I91" s="300">
        <v>35</v>
      </c>
      <c r="J91" s="300">
        <v>0.03</v>
      </c>
      <c r="K91" s="300">
        <f>H91*I91-J91</f>
        <v>1784.97</v>
      </c>
      <c r="L91" s="298">
        <v>42262</v>
      </c>
      <c r="M91" s="300">
        <v>13.64</v>
      </c>
      <c r="N91" s="300"/>
      <c r="O91" s="302"/>
      <c r="P91" s="140"/>
    </row>
    <row r="92" spans="1:16" ht="18" customHeight="1" x14ac:dyDescent="0.25">
      <c r="A92" s="297"/>
      <c r="B92" s="298">
        <v>42173</v>
      </c>
      <c r="C92" s="299">
        <v>10</v>
      </c>
      <c r="D92" s="300">
        <v>34.1</v>
      </c>
      <c r="E92" s="300"/>
      <c r="F92" s="300">
        <v>341</v>
      </c>
      <c r="G92" s="301"/>
      <c r="H92" s="299"/>
      <c r="I92" s="300"/>
      <c r="J92" s="300"/>
      <c r="K92" s="300"/>
      <c r="L92" s="301"/>
      <c r="M92" s="300"/>
      <c r="N92" s="300"/>
      <c r="O92" s="302"/>
      <c r="P92" s="140"/>
    </row>
    <row r="93" spans="1:16" ht="18" customHeight="1" x14ac:dyDescent="0.25">
      <c r="A93" s="297"/>
      <c r="B93" s="298">
        <v>42228</v>
      </c>
      <c r="C93" s="299">
        <v>50</v>
      </c>
      <c r="D93" s="300">
        <v>33.44</v>
      </c>
      <c r="E93" s="300"/>
      <c r="F93" s="300">
        <v>1672.2</v>
      </c>
      <c r="G93" s="301"/>
      <c r="H93" s="299"/>
      <c r="I93" s="300"/>
      <c r="J93" s="300"/>
      <c r="K93" s="300"/>
      <c r="L93" s="301"/>
      <c r="M93" s="300"/>
      <c r="N93" s="300"/>
      <c r="O93" s="302"/>
      <c r="P93" s="140"/>
    </row>
    <row r="94" spans="1:16" ht="18" customHeight="1" x14ac:dyDescent="0.25">
      <c r="A94" s="297"/>
      <c r="B94" s="306"/>
      <c r="C94" s="304">
        <v>90</v>
      </c>
      <c r="D94" s="305"/>
      <c r="E94" s="305"/>
      <c r="F94" s="305">
        <f>SUM(F90:F93)</f>
        <v>3048.45</v>
      </c>
      <c r="G94" s="306"/>
      <c r="H94" s="304">
        <v>90</v>
      </c>
      <c r="I94" s="305"/>
      <c r="J94" s="305"/>
      <c r="K94" s="305">
        <f>SUM(K90:K91)</f>
        <v>3175.29</v>
      </c>
      <c r="L94" s="306"/>
      <c r="M94" s="305">
        <f>SUM(M90:M91)</f>
        <v>21.37</v>
      </c>
      <c r="N94" s="305">
        <f>K94-F94</f>
        <v>126.84000000000015</v>
      </c>
      <c r="O94" s="307">
        <f>N94/F94</f>
        <v>4.1608030310485704E-2</v>
      </c>
      <c r="P94" s="140"/>
    </row>
    <row r="95" spans="1:16" ht="18" customHeight="1" x14ac:dyDescent="0.25">
      <c r="B95" s="312"/>
      <c r="C95" s="313"/>
      <c r="D95" s="314"/>
      <c r="E95" s="25"/>
      <c r="F95" s="314"/>
      <c r="G95" s="312"/>
      <c r="H95" s="313"/>
      <c r="I95" s="314"/>
      <c r="K95" s="314"/>
      <c r="L95" s="312"/>
      <c r="M95" s="314"/>
      <c r="N95" s="314"/>
      <c r="O95" s="315"/>
      <c r="P95" s="140"/>
    </row>
    <row r="96" spans="1:16" ht="18" customHeight="1" x14ac:dyDescent="0.25">
      <c r="A96" s="297" t="s">
        <v>32</v>
      </c>
      <c r="B96" s="298">
        <v>42166</v>
      </c>
      <c r="C96" s="299">
        <v>25</v>
      </c>
      <c r="D96" s="300">
        <v>41.2</v>
      </c>
      <c r="E96" s="301"/>
      <c r="F96" s="300">
        <f>C96*D96</f>
        <v>1030</v>
      </c>
      <c r="G96" s="298">
        <v>42200</v>
      </c>
      <c r="H96" s="299">
        <v>50</v>
      </c>
      <c r="I96" s="300">
        <v>42.08</v>
      </c>
      <c r="J96" s="299">
        <v>0.04</v>
      </c>
      <c r="K96" s="300">
        <f>H96*I96-J96</f>
        <v>2103.96</v>
      </c>
      <c r="L96" s="301"/>
      <c r="M96" s="300"/>
      <c r="N96" s="300"/>
      <c r="O96" s="302"/>
      <c r="P96" s="140" t="s">
        <v>133</v>
      </c>
    </row>
    <row r="97" spans="1:15" ht="18" customHeight="1" x14ac:dyDescent="0.25">
      <c r="A97" s="297"/>
      <c r="B97" s="298">
        <v>42167</v>
      </c>
      <c r="C97" s="299">
        <v>25</v>
      </c>
      <c r="D97" s="300">
        <v>39.1</v>
      </c>
      <c r="E97" s="301"/>
      <c r="F97" s="300">
        <f>C97*D97</f>
        <v>977.5</v>
      </c>
      <c r="G97" s="301"/>
      <c r="H97" s="299"/>
      <c r="I97" s="300"/>
      <c r="J97" s="299"/>
      <c r="K97" s="300"/>
      <c r="L97" s="301"/>
      <c r="M97" s="300"/>
      <c r="N97" s="300"/>
      <c r="O97" s="302"/>
    </row>
    <row r="98" spans="1:15" ht="18" customHeight="1" x14ac:dyDescent="0.25">
      <c r="A98" s="297"/>
      <c r="B98" s="303"/>
      <c r="C98" s="304">
        <f>SUM(C96:C97)</f>
        <v>50</v>
      </c>
      <c r="D98" s="305"/>
      <c r="E98" s="306"/>
      <c r="F98" s="305">
        <f>SUM(F96:F97)</f>
        <v>2007.5</v>
      </c>
      <c r="G98" s="306"/>
      <c r="H98" s="304">
        <f>SUM(H96:H97)</f>
        <v>50</v>
      </c>
      <c r="I98" s="305"/>
      <c r="J98" s="304"/>
      <c r="K98" s="305">
        <f>SUM(K96:K97)</f>
        <v>2103.96</v>
      </c>
      <c r="L98" s="306"/>
      <c r="M98" s="305"/>
      <c r="N98" s="305">
        <f>K98-F98</f>
        <v>96.460000000000036</v>
      </c>
      <c r="O98" s="307">
        <f>(N98+M98)/F98</f>
        <v>4.804981320049815E-2</v>
      </c>
    </row>
    <row r="99" spans="1:15" ht="18" customHeight="1" x14ac:dyDescent="0.25">
      <c r="B99" s="312"/>
      <c r="C99" s="313"/>
      <c r="D99" s="314"/>
      <c r="E99" s="314"/>
      <c r="F99" s="314"/>
      <c r="G99" s="312"/>
      <c r="H99" s="313"/>
      <c r="I99" s="314"/>
      <c r="K99" s="314"/>
      <c r="L99" s="312"/>
      <c r="M99" s="314"/>
      <c r="N99" s="314"/>
      <c r="O99" s="315"/>
    </row>
    <row r="100" spans="1:15" ht="18" customHeight="1" x14ac:dyDescent="0.25">
      <c r="A100" s="297" t="s">
        <v>16</v>
      </c>
      <c r="B100" s="298">
        <v>42153</v>
      </c>
      <c r="C100" s="299">
        <v>1</v>
      </c>
      <c r="D100" s="300">
        <v>20.3</v>
      </c>
      <c r="E100" s="300"/>
      <c r="F100" s="300">
        <f>C100*D100</f>
        <v>20.3</v>
      </c>
      <c r="G100" s="298">
        <v>42187</v>
      </c>
      <c r="H100" s="299">
        <v>1</v>
      </c>
      <c r="I100" s="300">
        <v>28.5</v>
      </c>
      <c r="J100" s="300">
        <v>0.01</v>
      </c>
      <c r="K100" s="300">
        <f>H100*I100-J100</f>
        <v>28.49</v>
      </c>
      <c r="L100" s="301"/>
      <c r="M100" s="300"/>
      <c r="N100" s="300"/>
      <c r="O100" s="302"/>
    </row>
    <row r="101" spans="1:15" ht="18" customHeight="1" x14ac:dyDescent="0.25">
      <c r="A101" s="297"/>
      <c r="B101" s="306"/>
      <c r="C101" s="304">
        <f>SUM(C100)</f>
        <v>1</v>
      </c>
      <c r="D101" s="305"/>
      <c r="E101" s="305"/>
      <c r="F101" s="305">
        <f>SUM(F100)</f>
        <v>20.3</v>
      </c>
      <c r="G101" s="306"/>
      <c r="H101" s="304">
        <f>SUM(H100)</f>
        <v>1</v>
      </c>
      <c r="I101" s="305"/>
      <c r="J101" s="305"/>
      <c r="K101" s="305">
        <f>SUM(K100)</f>
        <v>28.49</v>
      </c>
      <c r="L101" s="306"/>
      <c r="M101" s="305"/>
      <c r="N101" s="305">
        <f>K101-F101</f>
        <v>8.1899999999999977</v>
      </c>
      <c r="O101" s="307">
        <f>(N101+M101)/F101</f>
        <v>0.40344827586206883</v>
      </c>
    </row>
    <row r="102" spans="1:15" ht="18" customHeight="1" x14ac:dyDescent="0.25">
      <c r="B102" s="312"/>
      <c r="C102" s="313"/>
      <c r="D102" s="314"/>
      <c r="E102" s="25"/>
      <c r="F102" s="314"/>
      <c r="G102" s="312"/>
      <c r="H102" s="313"/>
      <c r="I102" s="314"/>
      <c r="K102" s="314"/>
      <c r="L102" s="312"/>
      <c r="M102" s="314"/>
      <c r="N102" s="314"/>
      <c r="O102" s="315"/>
    </row>
    <row r="103" spans="1:15" ht="18" customHeight="1" x14ac:dyDescent="0.25">
      <c r="A103" s="297" t="s">
        <v>21</v>
      </c>
      <c r="B103" s="298">
        <v>42153</v>
      </c>
      <c r="C103" s="299">
        <v>10</v>
      </c>
      <c r="D103" s="300">
        <v>17.399999999999999</v>
      </c>
      <c r="E103" s="301"/>
      <c r="F103" s="300">
        <f>C103*D103</f>
        <v>174</v>
      </c>
      <c r="G103" s="298">
        <v>42186</v>
      </c>
      <c r="H103" s="299">
        <v>10</v>
      </c>
      <c r="I103" s="300">
        <v>24.2</v>
      </c>
      <c r="J103" s="299">
        <v>0.01</v>
      </c>
      <c r="K103" s="300">
        <f>H103*I103-J103</f>
        <v>241.99</v>
      </c>
      <c r="L103" s="301"/>
      <c r="M103" s="300"/>
      <c r="N103" s="300"/>
      <c r="O103" s="302"/>
    </row>
    <row r="104" spans="1:15" ht="18" customHeight="1" x14ac:dyDescent="0.25">
      <c r="A104" s="297"/>
      <c r="B104" s="298">
        <v>42187</v>
      </c>
      <c r="C104" s="299">
        <v>1000</v>
      </c>
      <c r="D104" s="300">
        <v>22.12</v>
      </c>
      <c r="E104" s="301"/>
      <c r="F104" s="300">
        <f>C104*D104</f>
        <v>22120</v>
      </c>
      <c r="G104" s="298">
        <v>42187</v>
      </c>
      <c r="H104" s="299">
        <v>4000</v>
      </c>
      <c r="I104" s="300">
        <v>21.81</v>
      </c>
      <c r="J104" s="299">
        <v>11.91</v>
      </c>
      <c r="K104" s="300">
        <f>H104*I104-J104</f>
        <v>87228.09</v>
      </c>
      <c r="L104" s="301"/>
      <c r="M104" s="300"/>
      <c r="N104" s="300"/>
      <c r="O104" s="302"/>
    </row>
    <row r="105" spans="1:15" ht="18" customHeight="1" x14ac:dyDescent="0.25">
      <c r="A105" s="297"/>
      <c r="B105" s="298">
        <v>42187</v>
      </c>
      <c r="C105" s="299">
        <v>1000</v>
      </c>
      <c r="D105" s="300">
        <v>21.7</v>
      </c>
      <c r="E105" s="301"/>
      <c r="F105" s="300">
        <f>C105*D105</f>
        <v>21700</v>
      </c>
      <c r="G105" s="298"/>
      <c r="H105" s="299"/>
      <c r="I105" s="300"/>
      <c r="J105" s="299"/>
      <c r="K105" s="300"/>
      <c r="L105" s="301"/>
      <c r="M105" s="300"/>
      <c r="N105" s="300"/>
      <c r="O105" s="302"/>
    </row>
    <row r="106" spans="1:15" ht="18" customHeight="1" x14ac:dyDescent="0.25">
      <c r="A106" s="297"/>
      <c r="B106" s="298">
        <v>42187</v>
      </c>
      <c r="C106" s="299">
        <v>2000</v>
      </c>
      <c r="D106" s="300">
        <v>21.49</v>
      </c>
      <c r="E106" s="301"/>
      <c r="F106" s="300">
        <f>C106*D106</f>
        <v>42980</v>
      </c>
      <c r="G106" s="298"/>
      <c r="H106" s="299"/>
      <c r="I106" s="300"/>
      <c r="J106" s="299"/>
      <c r="K106" s="300"/>
      <c r="L106" s="301"/>
      <c r="M106" s="300"/>
      <c r="N106" s="300"/>
      <c r="O106" s="302"/>
    </row>
    <row r="107" spans="1:15" ht="18" customHeight="1" x14ac:dyDescent="0.25">
      <c r="A107" s="297"/>
      <c r="B107" s="303"/>
      <c r="C107" s="304">
        <f>SUM(C103:C106)</f>
        <v>4010</v>
      </c>
      <c r="D107" s="305"/>
      <c r="E107" s="306"/>
      <c r="F107" s="305">
        <f>SUM(F103:F106)</f>
        <v>86974</v>
      </c>
      <c r="G107" s="306"/>
      <c r="H107" s="304">
        <f>SUM(H103:H106)</f>
        <v>4010</v>
      </c>
      <c r="I107" s="305"/>
      <c r="J107" s="304"/>
      <c r="K107" s="305">
        <f>SUM(K103:K106)</f>
        <v>87470.080000000002</v>
      </c>
      <c r="L107" s="306"/>
      <c r="M107" s="305"/>
      <c r="N107" s="305">
        <f>K107-F107</f>
        <v>496.08000000000175</v>
      </c>
      <c r="O107" s="307">
        <f>(N107+M107)/F107</f>
        <v>5.7037735415181746E-3</v>
      </c>
    </row>
    <row r="108" spans="1:15" ht="18" customHeight="1" x14ac:dyDescent="0.25">
      <c r="B108" s="312"/>
      <c r="C108" s="313"/>
      <c r="D108" s="314"/>
      <c r="E108" s="25"/>
      <c r="F108" s="314"/>
      <c r="G108" s="312"/>
      <c r="H108" s="313"/>
      <c r="I108" s="314"/>
      <c r="J108" s="314"/>
      <c r="K108" s="314"/>
      <c r="L108" s="312"/>
      <c r="M108" s="314"/>
      <c r="N108" s="313"/>
      <c r="O108" s="313"/>
    </row>
    <row r="109" spans="1:15" ht="18" customHeight="1" x14ac:dyDescent="0.25">
      <c r="A109" s="297" t="s">
        <v>9</v>
      </c>
      <c r="B109" s="298">
        <v>42145</v>
      </c>
      <c r="C109" s="299">
        <v>100</v>
      </c>
      <c r="D109" s="300">
        <v>5.55</v>
      </c>
      <c r="E109" s="300"/>
      <c r="F109" s="300">
        <f t="shared" ref="F109:F138" si="5">C109*D109</f>
        <v>555</v>
      </c>
      <c r="G109" s="298">
        <v>42187</v>
      </c>
      <c r="H109" s="299">
        <v>4200</v>
      </c>
      <c r="I109" s="300">
        <v>5.0199999999999996</v>
      </c>
      <c r="J109" s="300">
        <v>0.39</v>
      </c>
      <c r="K109" s="300">
        <f>H109*I109-J109</f>
        <v>21083.61</v>
      </c>
      <c r="L109" s="298">
        <v>42185</v>
      </c>
      <c r="M109" s="300">
        <v>656.25</v>
      </c>
      <c r="N109" s="299"/>
      <c r="O109" s="299"/>
    </row>
    <row r="110" spans="1:15" ht="18" customHeight="1" x14ac:dyDescent="0.25">
      <c r="A110" s="297"/>
      <c r="B110" s="298">
        <v>42146</v>
      </c>
      <c r="C110" s="299">
        <v>100</v>
      </c>
      <c r="D110" s="300">
        <v>5.47</v>
      </c>
      <c r="E110" s="300"/>
      <c r="F110" s="300">
        <f t="shared" si="5"/>
        <v>547</v>
      </c>
      <c r="G110" s="298">
        <v>42207</v>
      </c>
      <c r="H110" s="299">
        <v>1000</v>
      </c>
      <c r="I110" s="300">
        <v>5.12</v>
      </c>
      <c r="J110" s="300">
        <v>0.09</v>
      </c>
      <c r="K110" s="300">
        <f>H110*I110-J110</f>
        <v>5119.91</v>
      </c>
      <c r="L110" s="301"/>
      <c r="M110" s="300"/>
      <c r="N110" s="299"/>
      <c r="O110" s="299"/>
    </row>
    <row r="111" spans="1:15" ht="18" customHeight="1" x14ac:dyDescent="0.25">
      <c r="A111" s="297"/>
      <c r="B111" s="298">
        <v>42146</v>
      </c>
      <c r="C111" s="299">
        <v>100</v>
      </c>
      <c r="D111" s="300">
        <v>5.43</v>
      </c>
      <c r="E111" s="300"/>
      <c r="F111" s="300">
        <f t="shared" si="5"/>
        <v>543</v>
      </c>
      <c r="G111" s="298">
        <v>42207</v>
      </c>
      <c r="H111" s="299">
        <v>2000</v>
      </c>
      <c r="I111" s="300">
        <v>5.16</v>
      </c>
      <c r="J111" s="300">
        <v>0.19</v>
      </c>
      <c r="K111" s="300">
        <f t="shared" ref="K111:K118" si="6">H111*I111-J111</f>
        <v>10319.81</v>
      </c>
      <c r="L111" s="301"/>
      <c r="M111" s="300"/>
      <c r="N111" s="299"/>
      <c r="O111" s="299"/>
    </row>
    <row r="112" spans="1:15" ht="18" customHeight="1" x14ac:dyDescent="0.25">
      <c r="A112" s="297"/>
      <c r="B112" s="298">
        <v>42146</v>
      </c>
      <c r="C112" s="299">
        <v>100</v>
      </c>
      <c r="D112" s="300">
        <v>5.4</v>
      </c>
      <c r="E112" s="300"/>
      <c r="F112" s="300">
        <f t="shared" si="5"/>
        <v>540</v>
      </c>
      <c r="G112" s="298">
        <v>42207</v>
      </c>
      <c r="H112" s="299">
        <v>1000</v>
      </c>
      <c r="I112" s="300">
        <v>5.07</v>
      </c>
      <c r="J112" s="300">
        <v>0.09</v>
      </c>
      <c r="K112" s="300">
        <f t="shared" si="6"/>
        <v>5069.91</v>
      </c>
      <c r="L112" s="301"/>
      <c r="M112" s="300"/>
      <c r="N112" s="299"/>
      <c r="O112" s="299"/>
    </row>
    <row r="113" spans="1:16" ht="18" customHeight="1" x14ac:dyDescent="0.25">
      <c r="A113" s="297"/>
      <c r="B113" s="298">
        <v>42146</v>
      </c>
      <c r="C113" s="299">
        <v>200</v>
      </c>
      <c r="D113" s="300">
        <v>5.35</v>
      </c>
      <c r="E113" s="300"/>
      <c r="F113" s="300">
        <f t="shared" si="5"/>
        <v>1070</v>
      </c>
      <c r="G113" s="298">
        <v>42207</v>
      </c>
      <c r="H113" s="299">
        <v>1000</v>
      </c>
      <c r="I113" s="300">
        <v>5.09</v>
      </c>
      <c r="J113" s="300">
        <v>0.09</v>
      </c>
      <c r="K113" s="300">
        <f t="shared" si="6"/>
        <v>5089.91</v>
      </c>
      <c r="L113" s="301"/>
      <c r="M113" s="300"/>
      <c r="N113" s="299"/>
      <c r="O113" s="299"/>
    </row>
    <row r="114" spans="1:16" ht="18" customHeight="1" x14ac:dyDescent="0.25">
      <c r="A114" s="297"/>
      <c r="B114" s="298">
        <v>42152</v>
      </c>
      <c r="C114" s="299">
        <v>250</v>
      </c>
      <c r="D114" s="300">
        <v>5.3</v>
      </c>
      <c r="E114" s="300"/>
      <c r="F114" s="300">
        <f t="shared" si="5"/>
        <v>1325</v>
      </c>
      <c r="G114" s="298">
        <v>42207</v>
      </c>
      <c r="H114" s="299">
        <v>2000</v>
      </c>
      <c r="I114" s="300">
        <v>5.23</v>
      </c>
      <c r="J114" s="300">
        <v>0.19</v>
      </c>
      <c r="K114" s="300">
        <f t="shared" si="6"/>
        <v>10459.81</v>
      </c>
      <c r="L114" s="301"/>
      <c r="M114" s="300"/>
      <c r="N114" s="299"/>
      <c r="O114" s="299"/>
    </row>
    <row r="115" spans="1:16" ht="18" customHeight="1" x14ac:dyDescent="0.25">
      <c r="A115" s="297"/>
      <c r="B115" s="298">
        <v>42152</v>
      </c>
      <c r="C115" s="299">
        <v>200</v>
      </c>
      <c r="D115" s="300">
        <v>5.26</v>
      </c>
      <c r="E115" s="300"/>
      <c r="F115" s="300">
        <f t="shared" si="5"/>
        <v>1052</v>
      </c>
      <c r="G115" s="298">
        <v>42222</v>
      </c>
      <c r="H115" s="299">
        <v>5000</v>
      </c>
      <c r="I115" s="300">
        <v>5.12</v>
      </c>
      <c r="J115" s="300">
        <v>0.47</v>
      </c>
      <c r="K115" s="300">
        <f t="shared" si="6"/>
        <v>25599.53</v>
      </c>
      <c r="L115" s="301"/>
      <c r="M115" s="300"/>
      <c r="N115" s="299"/>
      <c r="O115" s="299"/>
    </row>
    <row r="116" spans="1:16" ht="18" customHeight="1" x14ac:dyDescent="0.25">
      <c r="A116" s="297"/>
      <c r="B116" s="298">
        <v>42152</v>
      </c>
      <c r="C116" s="299">
        <v>200</v>
      </c>
      <c r="D116" s="300">
        <v>5.22</v>
      </c>
      <c r="E116" s="300"/>
      <c r="F116" s="300">
        <f t="shared" si="5"/>
        <v>1044</v>
      </c>
      <c r="G116" s="298">
        <v>42222</v>
      </c>
      <c r="H116" s="299">
        <v>1000</v>
      </c>
      <c r="I116" s="300">
        <v>5.1100000000000003</v>
      </c>
      <c r="J116" s="300">
        <v>0.09</v>
      </c>
      <c r="K116" s="300">
        <f t="shared" si="6"/>
        <v>5109.91</v>
      </c>
      <c r="L116" s="301"/>
      <c r="M116" s="300"/>
      <c r="N116" s="299"/>
      <c r="O116" s="299"/>
    </row>
    <row r="117" spans="1:16" ht="18" customHeight="1" x14ac:dyDescent="0.25">
      <c r="A117" s="297"/>
      <c r="B117" s="298">
        <v>42152</v>
      </c>
      <c r="C117" s="299">
        <v>1000</v>
      </c>
      <c r="D117" s="300">
        <v>5.19</v>
      </c>
      <c r="E117" s="300"/>
      <c r="F117" s="300">
        <f t="shared" si="5"/>
        <v>5190</v>
      </c>
      <c r="G117" s="298">
        <v>42223</v>
      </c>
      <c r="H117" s="299">
        <v>1950</v>
      </c>
      <c r="I117" s="300">
        <v>5.2</v>
      </c>
      <c r="J117" s="300">
        <v>0.19</v>
      </c>
      <c r="K117" s="300">
        <f t="shared" si="6"/>
        <v>10139.81</v>
      </c>
      <c r="L117" s="301"/>
      <c r="M117" s="300"/>
      <c r="N117" s="299"/>
      <c r="O117" s="299"/>
    </row>
    <row r="118" spans="1:16" ht="18" customHeight="1" x14ac:dyDescent="0.25">
      <c r="A118" s="297"/>
      <c r="B118" s="298">
        <v>42152</v>
      </c>
      <c r="C118" s="299">
        <v>2000</v>
      </c>
      <c r="D118" s="300">
        <v>5.17</v>
      </c>
      <c r="E118" s="300"/>
      <c r="F118" s="300">
        <f t="shared" si="5"/>
        <v>10340</v>
      </c>
      <c r="G118" s="298">
        <v>42229</v>
      </c>
      <c r="H118" s="299">
        <v>50</v>
      </c>
      <c r="I118" s="300">
        <v>5.28</v>
      </c>
      <c r="J118" s="300">
        <v>0.01</v>
      </c>
      <c r="K118" s="300">
        <f t="shared" si="6"/>
        <v>263.99</v>
      </c>
      <c r="L118" s="301"/>
      <c r="M118" s="300"/>
      <c r="N118" s="299"/>
      <c r="O118" s="299"/>
    </row>
    <row r="119" spans="1:16" ht="18" customHeight="1" x14ac:dyDescent="0.25">
      <c r="A119" s="297"/>
      <c r="B119" s="298">
        <v>42152</v>
      </c>
      <c r="C119" s="299">
        <v>2000</v>
      </c>
      <c r="D119" s="300">
        <v>5.15</v>
      </c>
      <c r="E119" s="300"/>
      <c r="F119" s="300">
        <f t="shared" si="5"/>
        <v>10300</v>
      </c>
      <c r="G119" s="301"/>
      <c r="H119" s="299"/>
      <c r="I119" s="300"/>
      <c r="J119" s="300"/>
      <c r="K119" s="300"/>
      <c r="L119" s="301"/>
      <c r="M119" s="300"/>
      <c r="N119" s="299"/>
      <c r="O119" s="299"/>
    </row>
    <row r="120" spans="1:16" ht="18" customHeight="1" x14ac:dyDescent="0.25">
      <c r="A120" s="297"/>
      <c r="B120" s="298">
        <v>42158</v>
      </c>
      <c r="C120" s="299">
        <v>500</v>
      </c>
      <c r="D120" s="300">
        <v>5.09</v>
      </c>
      <c r="E120" s="300"/>
      <c r="F120" s="300">
        <f t="shared" si="5"/>
        <v>2545</v>
      </c>
      <c r="G120" s="301"/>
      <c r="H120" s="299"/>
      <c r="I120" s="300"/>
      <c r="J120" s="300"/>
      <c r="K120" s="300"/>
      <c r="L120" s="301"/>
      <c r="M120" s="300"/>
      <c r="N120" s="299"/>
      <c r="O120" s="299"/>
    </row>
    <row r="121" spans="1:16" ht="18" customHeight="1" x14ac:dyDescent="0.25">
      <c r="A121" s="297"/>
      <c r="B121" s="298">
        <v>42158</v>
      </c>
      <c r="C121" s="299">
        <v>1000</v>
      </c>
      <c r="D121" s="300">
        <v>5.04</v>
      </c>
      <c r="E121" s="301"/>
      <c r="F121" s="300">
        <f t="shared" si="5"/>
        <v>5040</v>
      </c>
      <c r="G121" s="301"/>
      <c r="H121" s="299"/>
      <c r="I121" s="300"/>
      <c r="J121" s="300"/>
      <c r="K121" s="300"/>
      <c r="L121" s="301"/>
      <c r="M121" s="300"/>
      <c r="N121" s="299"/>
      <c r="O121" s="299"/>
    </row>
    <row r="122" spans="1:16" ht="18" customHeight="1" x14ac:dyDescent="0.25">
      <c r="A122" s="297"/>
      <c r="B122" s="298">
        <v>42158</v>
      </c>
      <c r="C122" s="299">
        <v>200</v>
      </c>
      <c r="D122" s="300">
        <v>5.05</v>
      </c>
      <c r="E122" s="300"/>
      <c r="F122" s="300">
        <f t="shared" si="5"/>
        <v>1010</v>
      </c>
      <c r="G122" s="301"/>
      <c r="H122" s="299"/>
      <c r="I122" s="300"/>
      <c r="J122" s="300"/>
      <c r="K122" s="300"/>
      <c r="L122" s="301"/>
      <c r="M122" s="300"/>
      <c r="N122" s="299"/>
      <c r="O122" s="299"/>
    </row>
    <row r="123" spans="1:16" ht="18" customHeight="1" x14ac:dyDescent="0.25">
      <c r="A123" s="297"/>
      <c r="B123" s="298">
        <v>42164</v>
      </c>
      <c r="C123" s="299">
        <v>500</v>
      </c>
      <c r="D123" s="300">
        <v>5.07</v>
      </c>
      <c r="E123" s="300"/>
      <c r="F123" s="300">
        <f t="shared" si="5"/>
        <v>2535</v>
      </c>
      <c r="G123" s="301"/>
      <c r="H123" s="299"/>
      <c r="I123" s="300"/>
      <c r="J123" s="300"/>
      <c r="K123" s="300"/>
      <c r="L123" s="301"/>
      <c r="M123" s="300"/>
      <c r="N123" s="299"/>
      <c r="O123" s="299"/>
    </row>
    <row r="124" spans="1:16" ht="18" customHeight="1" x14ac:dyDescent="0.25">
      <c r="A124" s="297"/>
      <c r="B124" s="298">
        <v>42164</v>
      </c>
      <c r="C124" s="299">
        <v>1000</v>
      </c>
      <c r="D124" s="300">
        <v>5.04</v>
      </c>
      <c r="E124" s="300"/>
      <c r="F124" s="300">
        <f t="shared" si="5"/>
        <v>5040</v>
      </c>
      <c r="G124" s="301"/>
      <c r="H124" s="299"/>
      <c r="I124" s="300"/>
      <c r="J124" s="300"/>
      <c r="K124" s="300"/>
      <c r="L124" s="301"/>
      <c r="M124" s="300"/>
      <c r="N124" s="299"/>
      <c r="O124" s="299"/>
    </row>
    <row r="125" spans="1:16" ht="18" customHeight="1" x14ac:dyDescent="0.25">
      <c r="A125" s="297"/>
      <c r="B125" s="298">
        <v>42164</v>
      </c>
      <c r="C125" s="299">
        <v>1000</v>
      </c>
      <c r="D125" s="300">
        <v>5.01</v>
      </c>
      <c r="E125" s="300"/>
      <c r="F125" s="300">
        <f t="shared" si="5"/>
        <v>5010</v>
      </c>
      <c r="G125" s="301"/>
      <c r="H125" s="299"/>
      <c r="I125" s="300"/>
      <c r="J125" s="300"/>
      <c r="K125" s="300"/>
      <c r="L125" s="301"/>
      <c r="M125" s="300"/>
      <c r="N125" s="299"/>
      <c r="O125" s="299"/>
    </row>
    <row r="126" spans="1:16" ht="18" customHeight="1" x14ac:dyDescent="0.25">
      <c r="A126" s="297"/>
      <c r="B126" s="298">
        <v>42173</v>
      </c>
      <c r="C126" s="299">
        <v>500</v>
      </c>
      <c r="D126" s="300">
        <v>4.88</v>
      </c>
      <c r="E126" s="300"/>
      <c r="F126" s="300">
        <f t="shared" si="5"/>
        <v>2440</v>
      </c>
      <c r="G126" s="301"/>
      <c r="H126" s="299"/>
      <c r="I126" s="300"/>
      <c r="J126" s="300"/>
      <c r="K126" s="300"/>
      <c r="L126" s="301"/>
      <c r="M126" s="300"/>
      <c r="N126" s="299"/>
      <c r="O126" s="299"/>
    </row>
    <row r="127" spans="1:16" ht="18" customHeight="1" x14ac:dyDescent="0.25">
      <c r="A127" s="297"/>
      <c r="B127" s="298">
        <v>42187</v>
      </c>
      <c r="C127" s="299">
        <v>2000</v>
      </c>
      <c r="D127" s="300">
        <v>4.9800000000000004</v>
      </c>
      <c r="E127" s="300"/>
      <c r="F127" s="300">
        <f t="shared" si="5"/>
        <v>9960</v>
      </c>
      <c r="G127" s="301"/>
      <c r="H127" s="299"/>
      <c r="I127" s="300"/>
      <c r="J127" s="300"/>
      <c r="K127" s="300"/>
      <c r="L127" s="301"/>
      <c r="M127" s="300"/>
      <c r="N127" s="299"/>
      <c r="O127" s="299"/>
    </row>
    <row r="128" spans="1:16" ht="18" customHeight="1" x14ac:dyDescent="0.25">
      <c r="A128" s="297"/>
      <c r="B128" s="298">
        <v>42187</v>
      </c>
      <c r="C128" s="299">
        <v>100</v>
      </c>
      <c r="D128" s="300">
        <v>4.9800000000000004</v>
      </c>
      <c r="E128" s="300"/>
      <c r="F128" s="300">
        <f t="shared" si="5"/>
        <v>498.00000000000006</v>
      </c>
      <c r="G128" s="301"/>
      <c r="H128" s="299"/>
      <c r="I128" s="300"/>
      <c r="J128" s="300"/>
      <c r="K128" s="300"/>
      <c r="L128" s="301"/>
      <c r="M128" s="300"/>
      <c r="N128" s="299"/>
      <c r="O128" s="299"/>
      <c r="P128" s="140" t="s">
        <v>133</v>
      </c>
    </row>
    <row r="129" spans="1:16" ht="18" customHeight="1" x14ac:dyDescent="0.25">
      <c r="A129" s="297"/>
      <c r="B129" s="298">
        <v>42187</v>
      </c>
      <c r="C129" s="299">
        <v>100</v>
      </c>
      <c r="D129" s="300">
        <v>4.9800000000000004</v>
      </c>
      <c r="E129" s="300"/>
      <c r="F129" s="300">
        <f t="shared" si="5"/>
        <v>498.00000000000006</v>
      </c>
      <c r="G129" s="301"/>
      <c r="H129" s="299"/>
      <c r="I129" s="300"/>
      <c r="J129" s="300"/>
      <c r="K129" s="300"/>
      <c r="L129" s="301"/>
      <c r="M129" s="300"/>
      <c r="N129" s="299"/>
      <c r="O129" s="299"/>
    </row>
    <row r="130" spans="1:16" ht="18" customHeight="1" x14ac:dyDescent="0.25">
      <c r="A130" s="297"/>
      <c r="B130" s="298">
        <v>42187</v>
      </c>
      <c r="C130" s="299">
        <v>2000</v>
      </c>
      <c r="D130" s="300">
        <v>4.97</v>
      </c>
      <c r="E130" s="300"/>
      <c r="F130" s="300">
        <f t="shared" si="5"/>
        <v>9940</v>
      </c>
      <c r="G130" s="301"/>
      <c r="H130" s="299"/>
      <c r="I130" s="300"/>
      <c r="J130" s="300"/>
      <c r="K130" s="300"/>
      <c r="L130" s="301"/>
      <c r="M130" s="300"/>
      <c r="N130" s="299"/>
      <c r="O130" s="299"/>
    </row>
    <row r="131" spans="1:16" ht="18" customHeight="1" x14ac:dyDescent="0.25">
      <c r="A131" s="297"/>
      <c r="B131" s="298">
        <v>42199</v>
      </c>
      <c r="C131" s="299">
        <v>500</v>
      </c>
      <c r="D131" s="300">
        <v>4.8</v>
      </c>
      <c r="E131" s="300"/>
      <c r="F131" s="300">
        <f t="shared" si="5"/>
        <v>2400</v>
      </c>
      <c r="G131" s="301"/>
      <c r="H131" s="299"/>
      <c r="I131" s="300"/>
      <c r="J131" s="300"/>
      <c r="K131" s="300"/>
      <c r="L131" s="301"/>
      <c r="M131" s="300"/>
      <c r="N131" s="299"/>
      <c r="O131" s="299"/>
      <c r="P131" s="140" t="s">
        <v>133</v>
      </c>
    </row>
    <row r="132" spans="1:16" ht="18" customHeight="1" x14ac:dyDescent="0.25">
      <c r="A132" s="297"/>
      <c r="B132" s="298">
        <v>42212</v>
      </c>
      <c r="C132" s="299">
        <v>300</v>
      </c>
      <c r="D132" s="300">
        <v>4.76</v>
      </c>
      <c r="E132" s="300"/>
      <c r="F132" s="300">
        <f t="shared" si="5"/>
        <v>1428</v>
      </c>
      <c r="G132" s="301"/>
      <c r="H132" s="299"/>
      <c r="I132" s="300"/>
      <c r="J132" s="300"/>
      <c r="K132" s="300"/>
      <c r="L132" s="301"/>
      <c r="M132" s="300"/>
      <c r="N132" s="299"/>
      <c r="O132" s="299"/>
    </row>
    <row r="133" spans="1:16" ht="18" customHeight="1" x14ac:dyDescent="0.25">
      <c r="A133" s="297"/>
      <c r="B133" s="298">
        <v>42212</v>
      </c>
      <c r="C133" s="299">
        <v>1700</v>
      </c>
      <c r="D133" s="300">
        <v>4.76</v>
      </c>
      <c r="E133" s="300"/>
      <c r="F133" s="300">
        <f t="shared" si="5"/>
        <v>8092</v>
      </c>
      <c r="G133" s="301"/>
      <c r="H133" s="299"/>
      <c r="I133" s="300"/>
      <c r="J133" s="300"/>
      <c r="K133" s="300"/>
      <c r="L133" s="301"/>
      <c r="M133" s="300"/>
      <c r="N133" s="299"/>
      <c r="O133" s="299"/>
    </row>
    <row r="134" spans="1:16" ht="18" customHeight="1" x14ac:dyDescent="0.25">
      <c r="A134" s="297"/>
      <c r="B134" s="298">
        <v>42214</v>
      </c>
      <c r="C134" s="299">
        <v>500</v>
      </c>
      <c r="D134" s="300">
        <v>4.68</v>
      </c>
      <c r="E134" s="300"/>
      <c r="F134" s="300">
        <f t="shared" si="5"/>
        <v>2340</v>
      </c>
      <c r="G134" s="301"/>
      <c r="H134" s="299"/>
      <c r="I134" s="300"/>
      <c r="J134" s="300"/>
      <c r="K134" s="300"/>
      <c r="L134" s="301"/>
      <c r="M134" s="300"/>
      <c r="N134" s="299"/>
      <c r="O134" s="299"/>
    </row>
    <row r="135" spans="1:16" ht="18" customHeight="1" x14ac:dyDescent="0.25">
      <c r="A135" s="297"/>
      <c r="B135" s="298">
        <v>42214</v>
      </c>
      <c r="C135" s="299">
        <v>50</v>
      </c>
      <c r="D135" s="300">
        <v>4.6500000000000004</v>
      </c>
      <c r="E135" s="300"/>
      <c r="F135" s="300">
        <f t="shared" si="5"/>
        <v>232.50000000000003</v>
      </c>
      <c r="G135" s="301"/>
      <c r="H135" s="299"/>
      <c r="I135" s="300"/>
      <c r="J135" s="300"/>
      <c r="K135" s="300"/>
      <c r="L135" s="301"/>
      <c r="M135" s="300"/>
      <c r="N135" s="299"/>
      <c r="O135" s="299"/>
      <c r="P135" s="140" t="s">
        <v>133</v>
      </c>
    </row>
    <row r="136" spans="1:16" ht="18" customHeight="1" x14ac:dyDescent="0.25">
      <c r="A136" s="297"/>
      <c r="B136" s="298">
        <v>42214</v>
      </c>
      <c r="C136" s="299">
        <v>200</v>
      </c>
      <c r="D136" s="300">
        <v>4.63</v>
      </c>
      <c r="E136" s="300"/>
      <c r="F136" s="300">
        <f t="shared" si="5"/>
        <v>926</v>
      </c>
      <c r="G136" s="301"/>
      <c r="H136" s="299"/>
      <c r="I136" s="300"/>
      <c r="J136" s="300"/>
      <c r="K136" s="300"/>
      <c r="L136" s="301"/>
      <c r="M136" s="300"/>
      <c r="N136" s="299"/>
      <c r="O136" s="299"/>
    </row>
    <row r="137" spans="1:16" ht="18" customHeight="1" x14ac:dyDescent="0.25">
      <c r="A137" s="297"/>
      <c r="B137" s="298">
        <v>42214</v>
      </c>
      <c r="C137" s="299">
        <v>300</v>
      </c>
      <c r="D137" s="300">
        <v>4.59</v>
      </c>
      <c r="E137" s="300"/>
      <c r="F137" s="300">
        <f t="shared" si="5"/>
        <v>1377</v>
      </c>
      <c r="G137" s="301"/>
      <c r="H137" s="299"/>
      <c r="I137" s="300"/>
      <c r="J137" s="300"/>
      <c r="K137" s="300"/>
      <c r="L137" s="301"/>
      <c r="M137" s="300"/>
      <c r="N137" s="299"/>
      <c r="O137" s="299"/>
    </row>
    <row r="138" spans="1:16" ht="18" customHeight="1" x14ac:dyDescent="0.25">
      <c r="A138" s="297"/>
      <c r="B138" s="298">
        <v>42214</v>
      </c>
      <c r="C138" s="299">
        <v>500</v>
      </c>
      <c r="D138" s="300">
        <v>4.54</v>
      </c>
      <c r="E138" s="300"/>
      <c r="F138" s="300">
        <f t="shared" si="5"/>
        <v>2270</v>
      </c>
      <c r="G138" s="301"/>
      <c r="H138" s="299"/>
      <c r="I138" s="300"/>
      <c r="J138" s="300"/>
      <c r="K138" s="300"/>
      <c r="L138" s="301"/>
      <c r="M138" s="300"/>
      <c r="N138" s="299"/>
      <c r="O138" s="299"/>
    </row>
    <row r="139" spans="1:16" ht="18" customHeight="1" x14ac:dyDescent="0.25">
      <c r="A139" s="297"/>
      <c r="B139" s="306"/>
      <c r="C139" s="304">
        <f>SUM(C109:C138)</f>
        <v>19200</v>
      </c>
      <c r="D139" s="305"/>
      <c r="E139" s="305"/>
      <c r="F139" s="305">
        <f>SUM(F109:F138)</f>
        <v>96087.5</v>
      </c>
      <c r="G139" s="306"/>
      <c r="H139" s="304">
        <f>SUM(H109:H138)</f>
        <v>19200</v>
      </c>
      <c r="I139" s="305"/>
      <c r="J139" s="305"/>
      <c r="K139" s="305">
        <f>SUM(K109:K138)</f>
        <v>98256.200000000012</v>
      </c>
      <c r="L139" s="306"/>
      <c r="M139" s="305">
        <f>SUM(M109:M138)</f>
        <v>656.25</v>
      </c>
      <c r="N139" s="305">
        <f>K139-F139</f>
        <v>2168.7000000000116</v>
      </c>
      <c r="O139" s="307">
        <f>(N139+M139)/F139</f>
        <v>2.9399765838428637E-2</v>
      </c>
    </row>
    <row r="140" spans="1:16" ht="18" customHeight="1" x14ac:dyDescent="0.25">
      <c r="B140" s="312"/>
      <c r="C140" s="313"/>
      <c r="D140" s="314"/>
      <c r="E140" s="25"/>
      <c r="F140" s="314"/>
      <c r="G140" s="312"/>
      <c r="H140" s="313"/>
      <c r="I140" s="314"/>
      <c r="K140" s="314"/>
      <c r="L140" s="312"/>
      <c r="M140" s="314"/>
      <c r="N140" s="314"/>
      <c r="O140" s="315"/>
    </row>
    <row r="141" spans="1:16" ht="18" customHeight="1" x14ac:dyDescent="0.25">
      <c r="A141" s="385" t="s">
        <v>15</v>
      </c>
      <c r="B141" s="375">
        <v>42153</v>
      </c>
      <c r="C141" s="376">
        <v>1</v>
      </c>
      <c r="D141" s="377">
        <v>26.75</v>
      </c>
      <c r="E141" s="377">
        <v>0</v>
      </c>
      <c r="F141" s="377">
        <f>C141*D141</f>
        <v>26.75</v>
      </c>
      <c r="G141" s="375">
        <v>42226</v>
      </c>
      <c r="H141" s="376">
        <v>170</v>
      </c>
      <c r="I141" s="376">
        <v>22.35</v>
      </c>
      <c r="J141" s="377">
        <v>7.0000000000000007E-2</v>
      </c>
      <c r="K141" s="376">
        <f t="shared" ref="K141:K148" si="7">H141*I141-J141</f>
        <v>3799.4300000000003</v>
      </c>
      <c r="L141" s="376" t="s">
        <v>80</v>
      </c>
      <c r="M141" s="376"/>
      <c r="N141" s="376"/>
      <c r="O141" s="376"/>
      <c r="P141" s="82"/>
    </row>
    <row r="142" spans="1:16" ht="18" customHeight="1" x14ac:dyDescent="0.25">
      <c r="A142" s="386"/>
      <c r="B142" s="375">
        <v>42173</v>
      </c>
      <c r="C142" s="376">
        <v>19</v>
      </c>
      <c r="D142" s="377">
        <v>24.84</v>
      </c>
      <c r="E142" s="377">
        <v>0</v>
      </c>
      <c r="F142" s="377">
        <f t="shared" ref="F142:F155" si="8">C142*D142</f>
        <v>471.96</v>
      </c>
      <c r="G142" s="375">
        <v>42263</v>
      </c>
      <c r="H142" s="376">
        <v>120</v>
      </c>
      <c r="I142" s="376">
        <v>19.28</v>
      </c>
      <c r="J142" s="376">
        <v>0.04</v>
      </c>
      <c r="K142" s="376">
        <f t="shared" si="7"/>
        <v>2313.5600000000004</v>
      </c>
      <c r="L142" s="376"/>
      <c r="M142" s="376"/>
      <c r="N142" s="376"/>
      <c r="O142" s="376"/>
      <c r="P142" s="82"/>
    </row>
    <row r="143" spans="1:16" ht="18" customHeight="1" x14ac:dyDescent="0.25">
      <c r="A143" s="376"/>
      <c r="B143" s="375">
        <v>42184</v>
      </c>
      <c r="C143" s="376">
        <v>10</v>
      </c>
      <c r="D143" s="377">
        <v>24.33</v>
      </c>
      <c r="E143" s="377">
        <v>0</v>
      </c>
      <c r="F143" s="377">
        <f t="shared" si="8"/>
        <v>243.29999999999998</v>
      </c>
      <c r="G143" s="375">
        <v>42284</v>
      </c>
      <c r="H143" s="376">
        <v>40</v>
      </c>
      <c r="I143" s="376">
        <v>20.45</v>
      </c>
      <c r="J143" s="376">
        <v>0.02</v>
      </c>
      <c r="K143" s="376">
        <f t="shared" si="7"/>
        <v>817.98</v>
      </c>
      <c r="L143" s="376"/>
      <c r="M143" s="376"/>
      <c r="N143" s="376"/>
      <c r="O143" s="376"/>
      <c r="P143" s="82"/>
    </row>
    <row r="144" spans="1:16" ht="18" customHeight="1" x14ac:dyDescent="0.25">
      <c r="A144" s="376"/>
      <c r="B144" s="375">
        <v>42185</v>
      </c>
      <c r="C144" s="376">
        <v>5</v>
      </c>
      <c r="D144" s="377">
        <v>23.82</v>
      </c>
      <c r="E144" s="377">
        <v>0</v>
      </c>
      <c r="F144" s="377">
        <f t="shared" si="8"/>
        <v>119.1</v>
      </c>
      <c r="G144" s="375">
        <v>42285</v>
      </c>
      <c r="H144" s="376">
        <v>80</v>
      </c>
      <c r="I144" s="377">
        <v>21.14</v>
      </c>
      <c r="J144" s="377">
        <v>0.03</v>
      </c>
      <c r="K144" s="376">
        <f t="shared" si="7"/>
        <v>1691.17</v>
      </c>
      <c r="L144" s="376"/>
      <c r="M144" s="376"/>
      <c r="N144" s="376"/>
      <c r="O144" s="376"/>
      <c r="P144" s="82"/>
    </row>
    <row r="145" spans="1:17" ht="18" customHeight="1" x14ac:dyDescent="0.25">
      <c r="A145" s="376"/>
      <c r="B145" s="375">
        <v>42185</v>
      </c>
      <c r="C145" s="376">
        <v>15</v>
      </c>
      <c r="D145" s="377">
        <v>23.71</v>
      </c>
      <c r="E145" s="377">
        <v>0</v>
      </c>
      <c r="F145" s="377">
        <f t="shared" si="8"/>
        <v>355.65000000000003</v>
      </c>
      <c r="G145" s="375">
        <v>42010</v>
      </c>
      <c r="H145" s="376">
        <v>60</v>
      </c>
      <c r="I145" s="376">
        <v>17.760000000000002</v>
      </c>
      <c r="J145" s="376">
        <v>0.02</v>
      </c>
      <c r="K145" s="376">
        <f t="shared" si="7"/>
        <v>1065.5800000000002</v>
      </c>
      <c r="L145" s="376"/>
      <c r="M145" s="376"/>
      <c r="N145" s="376"/>
      <c r="O145" s="376"/>
      <c r="P145" s="82"/>
    </row>
    <row r="146" spans="1:17" ht="18" customHeight="1" x14ac:dyDescent="0.25">
      <c r="A146" s="376"/>
      <c r="B146" s="375">
        <v>42185</v>
      </c>
      <c r="C146" s="376">
        <v>30</v>
      </c>
      <c r="D146" s="377">
        <v>23.65</v>
      </c>
      <c r="E146" s="377">
        <v>0</v>
      </c>
      <c r="F146" s="377">
        <f t="shared" si="8"/>
        <v>709.5</v>
      </c>
      <c r="G146" s="375">
        <v>42398</v>
      </c>
      <c r="H146" s="376">
        <v>60</v>
      </c>
      <c r="I146" s="376">
        <v>17.559999999999999</v>
      </c>
      <c r="J146" s="376">
        <v>0.02</v>
      </c>
      <c r="K146" s="376">
        <f t="shared" si="7"/>
        <v>1053.58</v>
      </c>
      <c r="L146" s="376"/>
      <c r="M146" s="376"/>
      <c r="N146" s="376"/>
      <c r="O146" s="376"/>
      <c r="P146" s="82"/>
    </row>
    <row r="147" spans="1:17" ht="18" customHeight="1" x14ac:dyDescent="0.25">
      <c r="A147" s="376"/>
      <c r="B147" s="375">
        <v>42185</v>
      </c>
      <c r="C147" s="376">
        <v>40</v>
      </c>
      <c r="D147" s="377">
        <v>23.2</v>
      </c>
      <c r="E147" s="377">
        <v>0</v>
      </c>
      <c r="F147" s="377">
        <f t="shared" si="8"/>
        <v>928</v>
      </c>
      <c r="G147" s="375">
        <v>42416</v>
      </c>
      <c r="H147" s="376">
        <v>60</v>
      </c>
      <c r="I147" s="376">
        <v>16.82</v>
      </c>
      <c r="J147" s="376">
        <v>0.02</v>
      </c>
      <c r="K147" s="376">
        <f t="shared" si="7"/>
        <v>1009.1800000000001</v>
      </c>
      <c r="L147" s="376"/>
      <c r="M147" s="376"/>
      <c r="N147" s="376"/>
      <c r="O147" s="376"/>
      <c r="P147" s="82"/>
    </row>
    <row r="148" spans="1:17" ht="18" customHeight="1" x14ac:dyDescent="0.25">
      <c r="A148" s="376"/>
      <c r="B148" s="375">
        <v>42185</v>
      </c>
      <c r="C148" s="376">
        <v>50</v>
      </c>
      <c r="D148" s="377">
        <v>22.94</v>
      </c>
      <c r="E148" s="377">
        <v>0</v>
      </c>
      <c r="F148" s="377">
        <f t="shared" si="8"/>
        <v>1147</v>
      </c>
      <c r="G148" s="375">
        <v>42423</v>
      </c>
      <c r="H148" s="376">
        <v>60</v>
      </c>
      <c r="I148" s="376">
        <v>17.84</v>
      </c>
      <c r="J148" s="376">
        <v>0.02</v>
      </c>
      <c r="K148" s="376">
        <f t="shared" si="7"/>
        <v>1070.3800000000001</v>
      </c>
      <c r="L148" s="376"/>
      <c r="M148" s="376"/>
      <c r="N148" s="376"/>
      <c r="O148" s="376"/>
      <c r="P148" s="82"/>
    </row>
    <row r="149" spans="1:17" ht="18" customHeight="1" x14ac:dyDescent="0.25">
      <c r="A149" s="376"/>
      <c r="B149" s="375">
        <v>42209</v>
      </c>
      <c r="C149" s="376">
        <v>50</v>
      </c>
      <c r="D149" s="377">
        <v>19.75</v>
      </c>
      <c r="E149" s="377">
        <v>0</v>
      </c>
      <c r="F149" s="377">
        <f t="shared" si="8"/>
        <v>987.5</v>
      </c>
      <c r="G149" s="376"/>
      <c r="H149" s="376"/>
      <c r="I149" s="376"/>
      <c r="J149" s="376"/>
      <c r="K149" s="376"/>
      <c r="L149" s="376"/>
      <c r="M149" s="376"/>
      <c r="N149" s="376"/>
      <c r="O149" s="376"/>
      <c r="P149" s="82"/>
    </row>
    <row r="150" spans="1:17" ht="18" customHeight="1" x14ac:dyDescent="0.25">
      <c r="A150" s="376"/>
      <c r="B150" s="375">
        <v>42212</v>
      </c>
      <c r="C150" s="376">
        <v>30</v>
      </c>
      <c r="D150" s="377">
        <v>19.2</v>
      </c>
      <c r="E150" s="377">
        <v>0</v>
      </c>
      <c r="F150" s="377">
        <f t="shared" si="8"/>
        <v>576</v>
      </c>
      <c r="G150" s="376"/>
      <c r="H150" s="376"/>
      <c r="I150" s="376"/>
      <c r="J150" s="376"/>
      <c r="K150" s="376"/>
      <c r="L150" s="376"/>
      <c r="M150" s="376"/>
      <c r="N150" s="376"/>
      <c r="O150" s="376"/>
      <c r="P150" s="82"/>
    </row>
    <row r="151" spans="1:17" ht="18" customHeight="1" x14ac:dyDescent="0.25">
      <c r="A151" s="376"/>
      <c r="B151" s="375">
        <v>42240</v>
      </c>
      <c r="C151" s="376">
        <v>40</v>
      </c>
      <c r="D151" s="377">
        <v>19.93</v>
      </c>
      <c r="E151" s="377">
        <v>0</v>
      </c>
      <c r="F151" s="377">
        <f t="shared" si="8"/>
        <v>797.2</v>
      </c>
      <c r="G151" s="376"/>
      <c r="H151" s="376"/>
      <c r="I151" s="376"/>
      <c r="J151" s="376"/>
      <c r="K151" s="376"/>
      <c r="L151" s="376"/>
      <c r="M151" s="376"/>
      <c r="N151" s="376"/>
      <c r="O151" s="376"/>
      <c r="P151" s="82"/>
    </row>
    <row r="152" spans="1:17" ht="18" customHeight="1" x14ac:dyDescent="0.25">
      <c r="A152" s="376"/>
      <c r="B152" s="375">
        <v>42261</v>
      </c>
      <c r="C152" s="376">
        <v>120</v>
      </c>
      <c r="D152" s="377">
        <v>18.7</v>
      </c>
      <c r="E152" s="377">
        <v>0</v>
      </c>
      <c r="F152" s="377">
        <f t="shared" si="8"/>
        <v>2244</v>
      </c>
      <c r="G152" s="376"/>
      <c r="H152" s="376"/>
      <c r="I152" s="376"/>
      <c r="J152" s="376"/>
      <c r="K152" s="376"/>
      <c r="L152" s="376"/>
      <c r="M152" s="376"/>
      <c r="N152" s="376"/>
      <c r="O152" s="376"/>
      <c r="P152" s="82"/>
    </row>
    <row r="153" spans="1:17" ht="18" customHeight="1" x14ac:dyDescent="0.25">
      <c r="A153" s="376"/>
      <c r="B153" s="375">
        <v>42349</v>
      </c>
      <c r="C153" s="376">
        <v>60</v>
      </c>
      <c r="D153" s="377">
        <v>18.04</v>
      </c>
      <c r="E153" s="377">
        <v>0</v>
      </c>
      <c r="F153" s="377">
        <f t="shared" si="8"/>
        <v>1082.3999999999999</v>
      </c>
      <c r="G153" s="376"/>
      <c r="H153" s="376"/>
      <c r="I153" s="376"/>
      <c r="J153" s="376"/>
      <c r="K153" s="376"/>
      <c r="L153" s="376"/>
      <c r="M153" s="376"/>
      <c r="N153" s="376"/>
      <c r="O153" s="376"/>
      <c r="P153" s="82"/>
    </row>
    <row r="154" spans="1:17" ht="18" customHeight="1" x14ac:dyDescent="0.25">
      <c r="A154" s="376"/>
      <c r="B154" s="375">
        <v>42362</v>
      </c>
      <c r="C154" s="376">
        <v>120</v>
      </c>
      <c r="D154" s="377">
        <v>17.079999999999998</v>
      </c>
      <c r="E154" s="377">
        <v>0</v>
      </c>
      <c r="F154" s="377">
        <f t="shared" si="8"/>
        <v>2049.6</v>
      </c>
      <c r="G154" s="376"/>
      <c r="H154" s="376"/>
      <c r="I154" s="376"/>
      <c r="J154" s="376"/>
      <c r="K154" s="376"/>
      <c r="L154" s="376"/>
      <c r="M154" s="376"/>
      <c r="N154" s="376"/>
      <c r="O154" s="376"/>
      <c r="P154" s="82"/>
    </row>
    <row r="155" spans="1:17" ht="18" customHeight="1" x14ac:dyDescent="0.25">
      <c r="A155" s="376"/>
      <c r="B155" s="375">
        <v>42409</v>
      </c>
      <c r="C155" s="376">
        <v>60</v>
      </c>
      <c r="D155" s="377">
        <v>15.45</v>
      </c>
      <c r="E155" s="377">
        <v>0</v>
      </c>
      <c r="F155" s="377">
        <f t="shared" si="8"/>
        <v>927</v>
      </c>
      <c r="G155" s="376"/>
      <c r="H155" s="376"/>
      <c r="I155" s="376"/>
      <c r="J155" s="376"/>
      <c r="K155" s="376"/>
      <c r="L155" s="376"/>
      <c r="M155" s="376"/>
      <c r="N155" s="376"/>
      <c r="O155" s="376"/>
      <c r="P155" s="82"/>
    </row>
    <row r="156" spans="1:17" ht="18" customHeight="1" x14ac:dyDescent="0.25">
      <c r="A156" s="376"/>
      <c r="B156" s="376"/>
      <c r="C156" s="376"/>
      <c r="D156" s="377"/>
      <c r="E156" s="377"/>
      <c r="F156" s="377"/>
      <c r="G156" s="376"/>
      <c r="H156" s="376"/>
      <c r="I156" s="376"/>
      <c r="J156" s="376"/>
      <c r="K156" s="376"/>
      <c r="L156" s="376"/>
      <c r="M156" s="376"/>
      <c r="N156" s="376"/>
      <c r="O156" s="376"/>
      <c r="P156" s="82"/>
    </row>
    <row r="157" spans="1:17" ht="18" customHeight="1" x14ac:dyDescent="0.25">
      <c r="A157" s="376"/>
      <c r="B157" s="376"/>
      <c r="C157" s="376"/>
      <c r="D157" s="377"/>
      <c r="E157" s="377"/>
      <c r="F157" s="377"/>
      <c r="G157" s="376"/>
      <c r="H157" s="376"/>
      <c r="I157" s="376"/>
      <c r="J157" s="376"/>
      <c r="K157" s="376"/>
      <c r="L157" s="376"/>
      <c r="M157" s="376"/>
      <c r="N157" s="376"/>
      <c r="O157" s="376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0">
        <f>N158/F158</f>
        <v>1.2309553287179862E-2</v>
      </c>
      <c r="P158" s="82"/>
    </row>
    <row r="159" spans="1:17" ht="18" customHeight="1" x14ac:dyDescent="0.25">
      <c r="B159" s="147"/>
      <c r="C159" s="145"/>
      <c r="D159" s="146"/>
      <c r="E159" s="25"/>
      <c r="F159" s="146"/>
      <c r="G159" s="147"/>
      <c r="H159" s="145"/>
      <c r="I159" s="146"/>
      <c r="K159" s="146"/>
      <c r="L159" s="147"/>
      <c r="M159" s="146"/>
      <c r="N159" s="146"/>
      <c r="O159" s="148"/>
    </row>
    <row r="160" spans="1:17" ht="18" customHeight="1" x14ac:dyDescent="0.25">
      <c r="A160" s="297" t="s">
        <v>25</v>
      </c>
      <c r="B160" s="298">
        <v>42163</v>
      </c>
      <c r="C160" s="299">
        <v>1</v>
      </c>
      <c r="D160" s="300">
        <v>117.3</v>
      </c>
      <c r="E160" s="301"/>
      <c r="F160" s="300">
        <f>C160*D160</f>
        <v>117.3</v>
      </c>
      <c r="G160" s="298">
        <v>42186</v>
      </c>
      <c r="H160" s="299">
        <v>1</v>
      </c>
      <c r="I160" s="300">
        <v>121.6</v>
      </c>
      <c r="J160" s="299">
        <v>0.01</v>
      </c>
      <c r="K160" s="300">
        <f>H160*I160-J160</f>
        <v>121.58999999999999</v>
      </c>
      <c r="L160" s="301"/>
      <c r="M160" s="300"/>
      <c r="N160" s="300"/>
      <c r="O160" s="302"/>
      <c r="Q160"/>
    </row>
    <row r="161" spans="1:18" ht="18" customHeight="1" x14ac:dyDescent="0.25">
      <c r="A161" s="297"/>
      <c r="B161" s="303"/>
      <c r="C161" s="304">
        <f>SUM(C160)</f>
        <v>1</v>
      </c>
      <c r="D161" s="305"/>
      <c r="E161" s="306"/>
      <c r="F161" s="305">
        <f>SUM(F160)</f>
        <v>117.3</v>
      </c>
      <c r="G161" s="306"/>
      <c r="H161" s="304">
        <f>SUM(H160)</f>
        <v>1</v>
      </c>
      <c r="I161" s="305"/>
      <c r="J161" s="304"/>
      <c r="K161" s="305">
        <f>SUM(K160)</f>
        <v>121.58999999999999</v>
      </c>
      <c r="L161" s="306"/>
      <c r="M161" s="305"/>
      <c r="N161" s="305">
        <f>K161-F161</f>
        <v>4.289999999999992</v>
      </c>
      <c r="O161" s="307">
        <f>(N161+M161)/F161</f>
        <v>3.6572890025575379E-2</v>
      </c>
      <c r="P161" s="140" t="s">
        <v>133</v>
      </c>
      <c r="Q161"/>
    </row>
    <row r="162" spans="1:18" ht="18" customHeight="1" x14ac:dyDescent="0.25">
      <c r="B162" s="312"/>
      <c r="C162" s="313"/>
      <c r="D162" s="314"/>
      <c r="E162" s="314"/>
      <c r="F162" s="314"/>
      <c r="G162" s="312"/>
      <c r="H162" s="313"/>
      <c r="I162" s="314"/>
      <c r="J162" s="314"/>
      <c r="K162" s="314"/>
      <c r="L162" s="312"/>
      <c r="M162" s="314"/>
      <c r="N162" s="314"/>
      <c r="O162" s="315"/>
      <c r="Q162"/>
    </row>
    <row r="163" spans="1:18" ht="18" customHeight="1" x14ac:dyDescent="0.25">
      <c r="A163" s="297" t="s">
        <v>36</v>
      </c>
      <c r="B163" s="298">
        <v>42167</v>
      </c>
      <c r="C163" s="299">
        <v>25</v>
      </c>
      <c r="D163" s="300">
        <v>34.15</v>
      </c>
      <c r="E163" s="300"/>
      <c r="F163" s="300">
        <f>C163*D163</f>
        <v>853.75</v>
      </c>
      <c r="G163" s="298">
        <v>42186</v>
      </c>
      <c r="H163" s="299">
        <v>35</v>
      </c>
      <c r="I163" s="300">
        <v>34.799999999999997</v>
      </c>
      <c r="J163" s="300">
        <v>0.02</v>
      </c>
      <c r="K163" s="300">
        <f>H163*I163-J163</f>
        <v>1217.98</v>
      </c>
      <c r="L163" s="301"/>
      <c r="M163" s="300"/>
      <c r="N163" s="300"/>
      <c r="O163" s="302"/>
      <c r="Q163" s="3"/>
      <c r="R163"/>
    </row>
    <row r="164" spans="1:18" ht="18" customHeight="1" x14ac:dyDescent="0.25">
      <c r="A164" s="297"/>
      <c r="B164" s="298">
        <v>42178</v>
      </c>
      <c r="C164" s="299">
        <v>10</v>
      </c>
      <c r="D164" s="300">
        <v>33.119999999999997</v>
      </c>
      <c r="E164" s="300"/>
      <c r="F164" s="300">
        <f>C164*D164</f>
        <v>331.2</v>
      </c>
      <c r="G164" s="301"/>
      <c r="H164" s="299"/>
      <c r="I164" s="300"/>
      <c r="J164" s="300"/>
      <c r="K164" s="300"/>
      <c r="L164" s="301"/>
      <c r="M164" s="300"/>
      <c r="N164" s="300"/>
      <c r="O164" s="302"/>
      <c r="Q164" s="135"/>
      <c r="R164"/>
    </row>
    <row r="165" spans="1:18" ht="18" customHeight="1" x14ac:dyDescent="0.25">
      <c r="A165" s="297"/>
      <c r="B165" s="303"/>
      <c r="C165" s="304">
        <f>SUM(C163:C164)</f>
        <v>35</v>
      </c>
      <c r="D165" s="305"/>
      <c r="E165" s="305"/>
      <c r="F165" s="305">
        <f>SUM(F163:F164)</f>
        <v>1184.95</v>
      </c>
      <c r="G165" s="306"/>
      <c r="H165" s="304">
        <f>SUM(H163:H164)</f>
        <v>35</v>
      </c>
      <c r="I165" s="305"/>
      <c r="J165" s="305"/>
      <c r="K165" s="305">
        <f>SUM(K163:K164)</f>
        <v>1217.98</v>
      </c>
      <c r="L165" s="306"/>
      <c r="M165" s="305"/>
      <c r="N165" s="305">
        <f>K165-F165</f>
        <v>33.029999999999973</v>
      </c>
      <c r="O165" s="307">
        <f>(N165+M165)/F165</f>
        <v>2.7874593864720007E-2</v>
      </c>
    </row>
    <row r="166" spans="1:18" ht="18" customHeight="1" x14ac:dyDescent="0.25">
      <c r="B166" s="312"/>
      <c r="C166" s="313"/>
      <c r="D166" s="314"/>
      <c r="E166" s="25"/>
      <c r="F166" s="314"/>
      <c r="G166" s="312"/>
      <c r="H166" s="313"/>
      <c r="I166" s="314"/>
      <c r="K166" s="314"/>
      <c r="L166" s="312"/>
      <c r="M166" s="314"/>
      <c r="N166" s="314"/>
      <c r="O166" s="315"/>
    </row>
    <row r="167" spans="1:18" ht="18" customHeight="1" x14ac:dyDescent="0.25">
      <c r="A167" s="680" t="s">
        <v>402</v>
      </c>
      <c r="B167" s="681">
        <v>42767</v>
      </c>
      <c r="C167" s="682">
        <v>35</v>
      </c>
      <c r="D167" s="683">
        <v>69.58</v>
      </c>
      <c r="E167" s="683">
        <v>0</v>
      </c>
      <c r="F167" s="683">
        <f>C167*D167+E167</f>
        <v>2435.2999999999997</v>
      </c>
      <c r="G167" s="681">
        <v>42803</v>
      </c>
      <c r="H167" s="684">
        <v>35</v>
      </c>
      <c r="I167" s="683">
        <v>87.78</v>
      </c>
      <c r="J167" s="683">
        <v>7.0000000000000007E-2</v>
      </c>
      <c r="K167" s="683">
        <f>I167*H167-J167</f>
        <v>3072.23</v>
      </c>
      <c r="L167" s="681">
        <v>42829</v>
      </c>
      <c r="M167" s="682">
        <v>14.44</v>
      </c>
      <c r="N167" s="685"/>
      <c r="O167" s="686"/>
    </row>
    <row r="168" spans="1:18" ht="18" customHeight="1" x14ac:dyDescent="0.25">
      <c r="A168" s="687"/>
      <c r="B168" s="682"/>
      <c r="C168" s="687">
        <f>SUM(C167:C167)</f>
        <v>35</v>
      </c>
      <c r="D168" s="688"/>
      <c r="E168" s="688"/>
      <c r="F168" s="688">
        <f>SUM(F167:F167)</f>
        <v>2435.2999999999997</v>
      </c>
      <c r="G168" s="687"/>
      <c r="H168" s="687">
        <f>SUM(H167:H167)</f>
        <v>35</v>
      </c>
      <c r="I168" s="688"/>
      <c r="J168" s="688"/>
      <c r="K168" s="688">
        <f>SUM(K167:K167)</f>
        <v>3072.23</v>
      </c>
      <c r="L168" s="687"/>
      <c r="M168" s="688">
        <f>SUM(M167:M167)</f>
        <v>14.44</v>
      </c>
      <c r="N168" s="678">
        <f>K168-F168</f>
        <v>636.93000000000029</v>
      </c>
      <c r="O168" s="679">
        <f>(N168+M168)/F168</f>
        <v>0.26747012688375166</v>
      </c>
    </row>
    <row r="169" spans="1:18" ht="18" customHeight="1" x14ac:dyDescent="0.25">
      <c r="B169" s="147"/>
      <c r="C169" s="145"/>
      <c r="D169" s="146"/>
      <c r="E169" s="25"/>
      <c r="F169" s="146"/>
      <c r="G169" s="147"/>
      <c r="H169" s="145"/>
      <c r="I169" s="146"/>
      <c r="K169" s="146"/>
      <c r="L169" s="147"/>
      <c r="M169" s="146"/>
      <c r="N169" s="146"/>
      <c r="O169" s="148"/>
    </row>
    <row r="170" spans="1:18" ht="18" customHeight="1" x14ac:dyDescent="0.25">
      <c r="A170" s="297" t="s">
        <v>14</v>
      </c>
      <c r="B170" s="298">
        <v>42152</v>
      </c>
      <c r="C170" s="299">
        <v>2</v>
      </c>
      <c r="D170" s="300">
        <v>51.22</v>
      </c>
      <c r="E170" s="301"/>
      <c r="F170" s="300">
        <f>C170*D170</f>
        <v>102.44</v>
      </c>
      <c r="G170" s="298">
        <v>42187</v>
      </c>
      <c r="H170" s="299">
        <v>150</v>
      </c>
      <c r="I170" s="300">
        <v>48.92</v>
      </c>
      <c r="J170" s="299">
        <v>0.12</v>
      </c>
      <c r="K170" s="300">
        <f>H170*I170-J170</f>
        <v>7337.88</v>
      </c>
      <c r="L170" s="298">
        <v>42195</v>
      </c>
      <c r="M170" s="300">
        <v>52</v>
      </c>
      <c r="N170" s="300"/>
      <c r="O170" s="302"/>
    </row>
    <row r="171" spans="1:18" ht="18" customHeight="1" x14ac:dyDescent="0.25">
      <c r="A171" s="297"/>
      <c r="B171" s="298">
        <v>42164</v>
      </c>
      <c r="C171" s="299">
        <v>48</v>
      </c>
      <c r="D171" s="300">
        <v>49.9</v>
      </c>
      <c r="E171" s="301"/>
      <c r="F171" s="300">
        <f>C171*D171</f>
        <v>2395.1999999999998</v>
      </c>
      <c r="G171" s="301"/>
      <c r="H171" s="299"/>
      <c r="I171" s="300"/>
      <c r="J171" s="299"/>
      <c r="K171" s="300"/>
      <c r="L171" s="301"/>
      <c r="M171" s="300"/>
      <c r="N171" s="300"/>
      <c r="O171" s="302"/>
    </row>
    <row r="172" spans="1:18" ht="18" customHeight="1" x14ac:dyDescent="0.25">
      <c r="A172" s="297"/>
      <c r="B172" s="298">
        <v>42165</v>
      </c>
      <c r="C172" s="299">
        <v>50</v>
      </c>
      <c r="D172" s="300">
        <v>48.6</v>
      </c>
      <c r="E172" s="301"/>
      <c r="F172" s="300">
        <f>C172*D172</f>
        <v>2430</v>
      </c>
      <c r="G172" s="301"/>
      <c r="H172" s="299"/>
      <c r="I172" s="300"/>
      <c r="J172" s="299"/>
      <c r="K172" s="300"/>
      <c r="L172" s="301"/>
      <c r="M172" s="300"/>
      <c r="N172" s="300"/>
      <c r="O172" s="302"/>
    </row>
    <row r="173" spans="1:18" ht="18" customHeight="1" x14ac:dyDescent="0.25">
      <c r="A173" s="297"/>
      <c r="B173" s="298">
        <v>42173</v>
      </c>
      <c r="C173" s="299">
        <v>25</v>
      </c>
      <c r="D173" s="300">
        <v>47.62</v>
      </c>
      <c r="E173" s="301"/>
      <c r="F173" s="300">
        <f>C173*D173</f>
        <v>1190.5</v>
      </c>
      <c r="G173" s="301"/>
      <c r="H173" s="299"/>
      <c r="I173" s="300"/>
      <c r="J173" s="299"/>
      <c r="K173" s="300"/>
      <c r="L173" s="301"/>
      <c r="M173" s="300"/>
      <c r="N173" s="300"/>
      <c r="O173" s="302"/>
    </row>
    <row r="174" spans="1:18" ht="18" customHeight="1" x14ac:dyDescent="0.25">
      <c r="A174" s="297"/>
      <c r="B174" s="298">
        <v>42173</v>
      </c>
      <c r="C174" s="299">
        <v>25</v>
      </c>
      <c r="D174" s="300">
        <v>47.54</v>
      </c>
      <c r="E174" s="301"/>
      <c r="F174" s="300">
        <f>C174*D174</f>
        <v>1188.5</v>
      </c>
      <c r="G174" s="301"/>
      <c r="H174" s="299"/>
      <c r="I174" s="300"/>
      <c r="J174" s="299"/>
      <c r="K174" s="300"/>
      <c r="L174" s="301"/>
      <c r="M174" s="300"/>
      <c r="N174" s="300"/>
      <c r="O174" s="302"/>
    </row>
    <row r="175" spans="1:18" ht="18" customHeight="1" x14ac:dyDescent="0.25">
      <c r="A175" s="297"/>
      <c r="B175" s="303"/>
      <c r="C175" s="304">
        <f>SUM(C170:C174)</f>
        <v>150</v>
      </c>
      <c r="D175" s="305"/>
      <c r="E175" s="306"/>
      <c r="F175" s="305">
        <f t="shared" ref="F175:M175" si="9">SUM(F170:F174)</f>
        <v>7306.6399999999994</v>
      </c>
      <c r="G175" s="306"/>
      <c r="H175" s="304">
        <f t="shared" si="9"/>
        <v>150</v>
      </c>
      <c r="I175" s="305"/>
      <c r="J175" s="304"/>
      <c r="K175" s="305">
        <f t="shared" si="9"/>
        <v>7337.88</v>
      </c>
      <c r="L175" s="306"/>
      <c r="M175" s="305">
        <f t="shared" si="9"/>
        <v>52</v>
      </c>
      <c r="N175" s="305">
        <f>K175-F175</f>
        <v>31.240000000000691</v>
      </c>
      <c r="O175" s="307">
        <f>(N175+M175)/F175</f>
        <v>1.1392377344442959E-2</v>
      </c>
    </row>
    <row r="176" spans="1:18" ht="18" customHeight="1" x14ac:dyDescent="0.25">
      <c r="B176" s="325"/>
      <c r="C176" s="313"/>
      <c r="D176" s="314"/>
      <c r="E176" s="313"/>
      <c r="F176" s="314"/>
      <c r="G176" s="328"/>
      <c r="H176" s="313"/>
      <c r="I176" s="314"/>
      <c r="J176" s="313"/>
      <c r="K176" s="314"/>
      <c r="L176" s="312"/>
      <c r="M176" s="314"/>
      <c r="N176" s="313"/>
      <c r="O176" s="313"/>
      <c r="P176" s="140" t="s">
        <v>133</v>
      </c>
    </row>
    <row r="177" spans="1:16" ht="18" customHeight="1" x14ac:dyDescent="0.25">
      <c r="A177" s="297" t="s">
        <v>26</v>
      </c>
      <c r="B177" s="298">
        <v>42163</v>
      </c>
      <c r="C177" s="299">
        <v>50</v>
      </c>
      <c r="D177" s="300">
        <v>5.9</v>
      </c>
      <c r="E177" s="299">
        <v>0</v>
      </c>
      <c r="F177" s="300">
        <v>295</v>
      </c>
      <c r="G177" s="327">
        <v>42187</v>
      </c>
      <c r="H177" s="299">
        <v>200</v>
      </c>
      <c r="I177" s="300">
        <v>6.45</v>
      </c>
      <c r="J177" s="299">
        <v>0.02</v>
      </c>
      <c r="K177" s="300">
        <v>1289.98</v>
      </c>
      <c r="L177" s="301"/>
      <c r="M177" s="300"/>
      <c r="N177" s="299"/>
      <c r="O177" s="299"/>
    </row>
    <row r="178" spans="1:16" ht="18" customHeight="1" x14ac:dyDescent="0.25">
      <c r="A178" s="297"/>
      <c r="B178" s="298">
        <v>42163</v>
      </c>
      <c r="C178" s="299">
        <v>100</v>
      </c>
      <c r="D178" s="300">
        <v>6.2</v>
      </c>
      <c r="E178" s="299">
        <v>0</v>
      </c>
      <c r="F178" s="300">
        <v>620</v>
      </c>
      <c r="G178" s="327">
        <v>42261</v>
      </c>
      <c r="H178" s="299">
        <v>450</v>
      </c>
      <c r="I178" s="300">
        <v>6.23</v>
      </c>
      <c r="J178" s="299">
        <v>0.05</v>
      </c>
      <c r="K178" s="300">
        <v>2803.45</v>
      </c>
      <c r="L178" s="301"/>
      <c r="M178" s="300"/>
      <c r="N178" s="299"/>
      <c r="O178" s="299"/>
      <c r="P178"/>
    </row>
    <row r="179" spans="1:16" ht="18" customHeight="1" x14ac:dyDescent="0.25">
      <c r="A179" s="297"/>
      <c r="B179" s="298">
        <v>42187</v>
      </c>
      <c r="C179" s="299">
        <v>200</v>
      </c>
      <c r="D179" s="300">
        <v>6.3</v>
      </c>
      <c r="E179" s="299">
        <v>0</v>
      </c>
      <c r="F179" s="300">
        <v>1260</v>
      </c>
      <c r="G179" s="327"/>
      <c r="H179" s="299"/>
      <c r="I179" s="300"/>
      <c r="J179" s="299"/>
      <c r="K179" s="300"/>
      <c r="L179" s="301"/>
      <c r="M179" s="300"/>
      <c r="N179" s="299"/>
      <c r="O179" s="299"/>
      <c r="P179"/>
    </row>
    <row r="180" spans="1:16" ht="18" customHeight="1" x14ac:dyDescent="0.25">
      <c r="A180" s="297"/>
      <c r="B180" s="298">
        <v>42194</v>
      </c>
      <c r="C180" s="299">
        <v>150</v>
      </c>
      <c r="D180" s="300">
        <v>6.1</v>
      </c>
      <c r="E180" s="299">
        <v>0</v>
      </c>
      <c r="F180" s="300">
        <v>915</v>
      </c>
      <c r="G180" s="327"/>
      <c r="H180" s="299"/>
      <c r="I180" s="300"/>
      <c r="J180" s="299"/>
      <c r="K180" s="300"/>
      <c r="L180" s="301"/>
      <c r="M180" s="300"/>
      <c r="N180" s="299"/>
      <c r="O180" s="299"/>
      <c r="P180"/>
    </row>
    <row r="181" spans="1:16" ht="18" customHeight="1" x14ac:dyDescent="0.25">
      <c r="A181" s="297"/>
      <c r="B181" s="298">
        <v>42240</v>
      </c>
      <c r="C181" s="299">
        <v>150</v>
      </c>
      <c r="D181" s="300">
        <v>5.69</v>
      </c>
      <c r="E181" s="299">
        <v>0</v>
      </c>
      <c r="F181" s="300">
        <v>853.50000000000011</v>
      </c>
      <c r="G181" s="327"/>
      <c r="H181" s="299"/>
      <c r="I181" s="300"/>
      <c r="J181" s="299"/>
      <c r="K181" s="300"/>
      <c r="L181" s="301"/>
      <c r="M181" s="300"/>
      <c r="N181" s="299"/>
      <c r="O181" s="299"/>
      <c r="P181"/>
    </row>
    <row r="182" spans="1:16" ht="18" customHeight="1" x14ac:dyDescent="0.25">
      <c r="A182" s="297"/>
      <c r="B182" s="303"/>
      <c r="C182" s="304">
        <v>650</v>
      </c>
      <c r="D182" s="305"/>
      <c r="E182" s="304"/>
      <c r="F182" s="305">
        <v>3943.5</v>
      </c>
      <c r="G182" s="329"/>
      <c r="H182" s="304">
        <v>650</v>
      </c>
      <c r="I182" s="305"/>
      <c r="J182" s="304"/>
      <c r="K182" s="305">
        <f>SUM(K177:K178)</f>
        <v>4093.43</v>
      </c>
      <c r="L182" s="306"/>
      <c r="M182" s="305"/>
      <c r="N182" s="305">
        <f>K182-F182</f>
        <v>149.92999999999984</v>
      </c>
      <c r="O182" s="307">
        <f>N182/K182</f>
        <v>3.6626985193346374E-2</v>
      </c>
      <c r="P182"/>
    </row>
    <row r="183" spans="1:16" ht="18" customHeight="1" x14ac:dyDescent="0.25">
      <c r="B183" s="325"/>
      <c r="C183" s="313"/>
      <c r="D183" s="314"/>
      <c r="E183" s="313"/>
      <c r="F183" s="314"/>
      <c r="G183" s="328"/>
      <c r="H183" s="313"/>
      <c r="I183" s="314"/>
      <c r="J183" s="313"/>
      <c r="K183" s="314"/>
      <c r="L183" s="312"/>
      <c r="M183" s="314"/>
      <c r="N183" s="313"/>
      <c r="O183" s="313"/>
    </row>
    <row r="184" spans="1:16" ht="18" customHeight="1" x14ac:dyDescent="0.25">
      <c r="A184" s="286" t="s">
        <v>26</v>
      </c>
      <c r="B184" s="287">
        <v>42284</v>
      </c>
      <c r="C184" s="288">
        <v>150</v>
      </c>
      <c r="D184" s="289">
        <v>3.75</v>
      </c>
      <c r="E184" s="289">
        <v>0</v>
      </c>
      <c r="F184" s="289">
        <f>D184*C184</f>
        <v>562.5</v>
      </c>
      <c r="G184" s="287">
        <v>42291</v>
      </c>
      <c r="H184" s="290">
        <v>100</v>
      </c>
      <c r="I184" s="289">
        <v>4.4000000000000004</v>
      </c>
      <c r="J184" s="289">
        <v>0.01</v>
      </c>
      <c r="K184" s="288">
        <f>I184*H184-J184</f>
        <v>439.99000000000007</v>
      </c>
      <c r="L184" s="287"/>
      <c r="M184" s="289"/>
      <c r="N184" s="288"/>
      <c r="O184" s="291"/>
    </row>
    <row r="185" spans="1:16" ht="18" customHeight="1" x14ac:dyDescent="0.25">
      <c r="A185" s="332"/>
      <c r="B185" s="715">
        <v>42338</v>
      </c>
      <c r="C185" s="288">
        <v>50</v>
      </c>
      <c r="D185" s="289">
        <v>3.03</v>
      </c>
      <c r="E185" s="289">
        <v>0</v>
      </c>
      <c r="F185" s="289">
        <f>D185*C185</f>
        <v>151.5</v>
      </c>
      <c r="G185" s="287">
        <v>42333</v>
      </c>
      <c r="H185" s="288">
        <v>50</v>
      </c>
      <c r="I185" s="288">
        <v>3.16</v>
      </c>
      <c r="J185" s="288">
        <v>0.01</v>
      </c>
      <c r="K185" s="288">
        <f>I185*H185-J185</f>
        <v>157.99</v>
      </c>
      <c r="L185" s="288"/>
      <c r="M185" s="288"/>
      <c r="N185" s="288"/>
      <c r="O185" s="291"/>
    </row>
    <row r="186" spans="1:16" ht="18" customHeight="1" x14ac:dyDescent="0.25">
      <c r="A186" s="288"/>
      <c r="B186" s="715"/>
      <c r="C186" s="288">
        <v>2</v>
      </c>
      <c r="D186" s="289">
        <v>3.03</v>
      </c>
      <c r="E186" s="289">
        <v>0</v>
      </c>
      <c r="F186" s="289">
        <f>D186*C186</f>
        <v>6.06</v>
      </c>
      <c r="G186" s="287">
        <v>42339</v>
      </c>
      <c r="H186" s="288">
        <v>50</v>
      </c>
      <c r="I186" s="288">
        <v>3.38</v>
      </c>
      <c r="J186" s="288">
        <v>0.01</v>
      </c>
      <c r="K186" s="288">
        <f>I186*H186-J186</f>
        <v>168.99</v>
      </c>
      <c r="L186" s="288"/>
      <c r="M186" s="288"/>
      <c r="N186" s="288"/>
      <c r="O186" s="291"/>
    </row>
    <row r="187" spans="1:16" ht="18" customHeight="1" x14ac:dyDescent="0.25">
      <c r="A187" s="288"/>
      <c r="B187" s="287">
        <v>42340</v>
      </c>
      <c r="C187" s="288">
        <v>52</v>
      </c>
      <c r="D187" s="289">
        <v>3.2</v>
      </c>
      <c r="E187" s="289">
        <v>0</v>
      </c>
      <c r="F187" s="289">
        <f>D187*C187</f>
        <v>166.4</v>
      </c>
      <c r="G187" s="288"/>
      <c r="H187" s="289">
        <v>54</v>
      </c>
      <c r="I187" s="289">
        <v>1.63</v>
      </c>
      <c r="J187" s="289">
        <v>0</v>
      </c>
      <c r="K187" s="288">
        <f>I187*H187-J187</f>
        <v>88.02</v>
      </c>
      <c r="L187" s="288"/>
      <c r="M187" s="288"/>
      <c r="N187" s="288"/>
      <c r="O187" s="291"/>
    </row>
    <row r="188" spans="1:16" ht="18" customHeight="1" x14ac:dyDescent="0.25">
      <c r="A188" s="291"/>
      <c r="B188" s="291"/>
      <c r="C188" s="291">
        <f>SUM(C184:C187)</f>
        <v>254</v>
      </c>
      <c r="D188" s="291"/>
      <c r="E188" s="294"/>
      <c r="F188" s="291">
        <f>SUM(F184:F187)</f>
        <v>886.45999999999992</v>
      </c>
      <c r="G188" s="291"/>
      <c r="H188" s="295">
        <f>SUM(H184:H187)</f>
        <v>254</v>
      </c>
      <c r="I188" s="291"/>
      <c r="J188" s="291"/>
      <c r="K188" s="291">
        <f>SUM(K184:K187)</f>
        <v>854.99</v>
      </c>
      <c r="L188" s="291"/>
      <c r="M188" s="294">
        <f>SUM(M184:M186)</f>
        <v>0</v>
      </c>
      <c r="N188" s="291">
        <f>K188-F188</f>
        <v>-31.469999999999914</v>
      </c>
      <c r="O188" s="296">
        <f>N188/F188</f>
        <v>-3.5500755815265121E-2</v>
      </c>
      <c r="P188" s="140" t="s">
        <v>133</v>
      </c>
    </row>
    <row r="189" spans="1:16" ht="18" customHeight="1" x14ac:dyDescent="0.25">
      <c r="B189" s="325"/>
      <c r="C189" s="313"/>
      <c r="D189" s="314"/>
      <c r="E189" s="313"/>
      <c r="F189" s="314"/>
      <c r="G189" s="328"/>
      <c r="H189" s="313"/>
      <c r="I189" s="314"/>
      <c r="J189" s="313"/>
      <c r="K189" s="314"/>
      <c r="L189" s="312"/>
      <c r="M189" s="314"/>
      <c r="N189" s="313"/>
      <c r="O189" s="313"/>
    </row>
    <row r="190" spans="1:16" ht="18" customHeight="1" x14ac:dyDescent="0.25">
      <c r="A190" s="297" t="s">
        <v>23</v>
      </c>
      <c r="B190" s="298">
        <v>42153</v>
      </c>
      <c r="C190" s="299">
        <v>50</v>
      </c>
      <c r="D190" s="300">
        <v>37.22</v>
      </c>
      <c r="E190" s="299"/>
      <c r="F190" s="300">
        <f>D190*C190</f>
        <v>1861</v>
      </c>
      <c r="G190" s="327">
        <v>42186</v>
      </c>
      <c r="H190" s="299">
        <v>50</v>
      </c>
      <c r="I190" s="300">
        <v>38.4</v>
      </c>
      <c r="J190" s="299">
        <v>0.04</v>
      </c>
      <c r="K190" s="300">
        <f>H190*I190-J190</f>
        <v>1919.96</v>
      </c>
      <c r="L190" s="301"/>
      <c r="M190" s="300"/>
      <c r="N190" s="299"/>
      <c r="O190" s="299"/>
    </row>
    <row r="191" spans="1:16" ht="18" customHeight="1" x14ac:dyDescent="0.25">
      <c r="A191" s="297"/>
      <c r="B191" s="298">
        <v>42208</v>
      </c>
      <c r="C191" s="299">
        <v>100</v>
      </c>
      <c r="D191" s="300">
        <v>36</v>
      </c>
      <c r="E191" s="301"/>
      <c r="F191" s="300">
        <f>D191*C191</f>
        <v>3600</v>
      </c>
      <c r="G191" s="327">
        <v>42230</v>
      </c>
      <c r="H191" s="299">
        <v>100</v>
      </c>
      <c r="I191" s="300">
        <v>35.96</v>
      </c>
      <c r="J191" s="299">
        <v>7.0000000000000007E-2</v>
      </c>
      <c r="K191" s="300">
        <f>H191*I191-J191</f>
        <v>3595.93</v>
      </c>
      <c r="L191" s="301"/>
      <c r="M191" s="300"/>
      <c r="N191" s="299"/>
      <c r="O191" s="299"/>
      <c r="P191" s="140" t="s">
        <v>133</v>
      </c>
    </row>
    <row r="192" spans="1:16" ht="18" customHeight="1" x14ac:dyDescent="0.25">
      <c r="A192" s="297"/>
      <c r="B192" s="298">
        <v>42209</v>
      </c>
      <c r="C192" s="299">
        <v>20</v>
      </c>
      <c r="D192" s="299">
        <f>709.5/20</f>
        <v>35.475000000000001</v>
      </c>
      <c r="E192" s="299"/>
      <c r="F192" s="300">
        <f>D192*C192</f>
        <v>709.5</v>
      </c>
      <c r="G192" s="327">
        <v>42258</v>
      </c>
      <c r="H192" s="299">
        <v>40</v>
      </c>
      <c r="I192" s="300">
        <v>36.65</v>
      </c>
      <c r="J192" s="299">
        <v>0.03</v>
      </c>
      <c r="K192" s="300">
        <f>H192*I192-J192</f>
        <v>1465.97</v>
      </c>
      <c r="L192" s="301"/>
      <c r="M192" s="300"/>
      <c r="N192" s="299"/>
      <c r="O192" s="299"/>
    </row>
    <row r="193" spans="1:16" ht="18" customHeight="1" x14ac:dyDescent="0.25">
      <c r="A193" s="297"/>
      <c r="B193" s="298">
        <v>42209</v>
      </c>
      <c r="C193" s="299">
        <v>20</v>
      </c>
      <c r="D193" s="300">
        <v>35.03</v>
      </c>
      <c r="E193" s="301"/>
      <c r="F193" s="300">
        <f>D193*C193</f>
        <v>700.6</v>
      </c>
      <c r="G193" s="327"/>
      <c r="H193" s="299"/>
      <c r="I193" s="300"/>
      <c r="J193" s="299"/>
      <c r="K193" s="300"/>
      <c r="L193" s="301"/>
      <c r="M193" s="300"/>
      <c r="N193" s="299"/>
      <c r="O193" s="299"/>
    </row>
    <row r="194" spans="1:16" ht="18" customHeight="1" x14ac:dyDescent="0.25">
      <c r="A194" s="297"/>
      <c r="B194" s="303"/>
      <c r="C194" s="304">
        <v>190</v>
      </c>
      <c r="D194" s="305"/>
      <c r="E194" s="304"/>
      <c r="F194" s="305">
        <f>SUM(F190:F193)</f>
        <v>6871.1</v>
      </c>
      <c r="G194" s="329"/>
      <c r="H194" s="304">
        <v>190</v>
      </c>
      <c r="I194" s="305"/>
      <c r="J194" s="304"/>
      <c r="K194" s="305">
        <f>SUM(K190:K192)</f>
        <v>6981.86</v>
      </c>
      <c r="L194" s="306"/>
      <c r="M194" s="305"/>
      <c r="N194" s="304">
        <f>K194-F194</f>
        <v>110.75999999999931</v>
      </c>
      <c r="O194" s="307">
        <f>(N194+M194)/F194</f>
        <v>1.6119689714892711E-2</v>
      </c>
      <c r="P194" s="140" t="s">
        <v>133</v>
      </c>
    </row>
    <row r="195" spans="1:16" ht="18" customHeight="1" x14ac:dyDescent="0.25">
      <c r="B195" s="312"/>
      <c r="C195" s="313"/>
      <c r="D195" s="314"/>
      <c r="E195" s="314"/>
      <c r="F195" s="314"/>
      <c r="G195" s="312"/>
      <c r="H195" s="313"/>
      <c r="I195" s="314"/>
      <c r="J195" s="314"/>
      <c r="K195" s="314"/>
      <c r="L195" s="312"/>
      <c r="M195" s="314"/>
      <c r="N195" s="314"/>
      <c r="O195" s="315"/>
    </row>
    <row r="196" spans="1:16" ht="18" customHeight="1" x14ac:dyDescent="0.25">
      <c r="A196" s="297" t="s">
        <v>41</v>
      </c>
      <c r="B196" s="298">
        <v>42184</v>
      </c>
      <c r="C196" s="299">
        <v>10</v>
      </c>
      <c r="D196" s="300">
        <v>66</v>
      </c>
      <c r="E196" s="300"/>
      <c r="F196" s="300">
        <f>C196*D196</f>
        <v>660</v>
      </c>
      <c r="G196" s="298">
        <v>42219</v>
      </c>
      <c r="H196" s="299">
        <v>10</v>
      </c>
      <c r="I196" s="300">
        <v>70.45</v>
      </c>
      <c r="J196" s="300">
        <v>0.01</v>
      </c>
      <c r="K196" s="300">
        <f>H196*I196-J196</f>
        <v>704.49</v>
      </c>
      <c r="L196" s="301"/>
      <c r="M196" s="300"/>
      <c r="N196" s="300"/>
      <c r="O196" s="302"/>
    </row>
    <row r="197" spans="1:16" ht="18" customHeight="1" x14ac:dyDescent="0.25">
      <c r="A197" s="297"/>
      <c r="B197" s="303"/>
      <c r="C197" s="304">
        <f>SUM(C196)</f>
        <v>10</v>
      </c>
      <c r="D197" s="305"/>
      <c r="E197" s="305"/>
      <c r="F197" s="305">
        <f>SUM(F196)</f>
        <v>660</v>
      </c>
      <c r="G197" s="306"/>
      <c r="H197" s="304">
        <f>SUM(H196)</f>
        <v>10</v>
      </c>
      <c r="I197" s="305"/>
      <c r="J197" s="305"/>
      <c r="K197" s="305">
        <f>SUM(K196)</f>
        <v>704.49</v>
      </c>
      <c r="L197" s="306"/>
      <c r="M197" s="305"/>
      <c r="N197" s="305">
        <f>K197-F197</f>
        <v>44.490000000000009</v>
      </c>
      <c r="O197" s="307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0" t="s">
        <v>133</v>
      </c>
    </row>
    <row r="199" spans="1:16" ht="18" customHeight="1" x14ac:dyDescent="0.25">
      <c r="A199" s="297" t="s">
        <v>35</v>
      </c>
      <c r="B199" s="298">
        <v>42166</v>
      </c>
      <c r="C199" s="299">
        <v>10</v>
      </c>
      <c r="D199" s="300">
        <v>55.7</v>
      </c>
      <c r="E199" s="300">
        <v>0</v>
      </c>
      <c r="F199" s="300">
        <f t="shared" ref="F199:F225" si="10">C199*D199+E199</f>
        <v>557</v>
      </c>
      <c r="G199" s="298">
        <v>42208</v>
      </c>
      <c r="H199" s="299">
        <v>10</v>
      </c>
      <c r="I199" s="300">
        <v>56</v>
      </c>
      <c r="J199" s="300">
        <v>0.01</v>
      </c>
      <c r="K199" s="300">
        <f t="shared" ref="K199:K222" si="11">H199*I199-J199</f>
        <v>559.99</v>
      </c>
      <c r="L199" s="301"/>
      <c r="M199" s="300"/>
      <c r="N199" s="300"/>
      <c r="O199" s="302"/>
      <c r="P199" s="140"/>
    </row>
    <row r="200" spans="1:16" ht="18" customHeight="1" x14ac:dyDescent="0.25">
      <c r="A200" s="297"/>
      <c r="B200" s="298">
        <v>42205</v>
      </c>
      <c r="C200" s="299">
        <v>10</v>
      </c>
      <c r="D200" s="300">
        <v>52.6</v>
      </c>
      <c r="E200" s="300">
        <v>0</v>
      </c>
      <c r="F200" s="300">
        <f t="shared" si="10"/>
        <v>526</v>
      </c>
      <c r="G200" s="298">
        <v>42234</v>
      </c>
      <c r="H200" s="299">
        <v>25</v>
      </c>
      <c r="I200" s="300">
        <v>50.88</v>
      </c>
      <c r="J200" s="300">
        <v>0.02</v>
      </c>
      <c r="K200" s="300">
        <f t="shared" si="11"/>
        <v>1271.98</v>
      </c>
      <c r="L200" s="301"/>
      <c r="M200" s="300"/>
      <c r="N200" s="300"/>
      <c r="O200" s="302"/>
      <c r="P200" s="140"/>
    </row>
    <row r="201" spans="1:16" ht="18" customHeight="1" x14ac:dyDescent="0.25">
      <c r="A201" s="297"/>
      <c r="B201" s="298">
        <v>42229</v>
      </c>
      <c r="C201" s="299">
        <v>15</v>
      </c>
      <c r="D201" s="300">
        <v>50.9</v>
      </c>
      <c r="E201" s="300">
        <v>0</v>
      </c>
      <c r="F201" s="300">
        <f t="shared" si="10"/>
        <v>763.5</v>
      </c>
      <c r="G201" s="298">
        <v>42314</v>
      </c>
      <c r="H201" s="299">
        <v>150</v>
      </c>
      <c r="I201" s="300">
        <v>31.5</v>
      </c>
      <c r="J201" s="300">
        <v>0.09</v>
      </c>
      <c r="K201" s="300">
        <f t="shared" si="11"/>
        <v>4724.91</v>
      </c>
      <c r="L201" s="301"/>
      <c r="M201" s="300"/>
      <c r="N201" s="300"/>
      <c r="O201" s="302"/>
      <c r="P201" s="140"/>
    </row>
    <row r="202" spans="1:16" ht="18" customHeight="1" x14ac:dyDescent="0.25">
      <c r="A202" s="297"/>
      <c r="B202" s="298">
        <v>42233</v>
      </c>
      <c r="C202" s="299">
        <v>15</v>
      </c>
      <c r="D202" s="300">
        <v>46.8</v>
      </c>
      <c r="E202" s="300">
        <v>0</v>
      </c>
      <c r="F202" s="300">
        <f t="shared" si="10"/>
        <v>702</v>
      </c>
      <c r="G202" s="298">
        <v>42317</v>
      </c>
      <c r="H202" s="299">
        <v>150</v>
      </c>
      <c r="I202" s="300">
        <v>31.5</v>
      </c>
      <c r="J202" s="300">
        <v>0.09</v>
      </c>
      <c r="K202" s="300">
        <f t="shared" si="11"/>
        <v>4724.91</v>
      </c>
      <c r="L202" s="301"/>
      <c r="M202" s="300"/>
      <c r="N202" s="300"/>
      <c r="O202" s="302"/>
      <c r="P202" s="140" t="s">
        <v>133</v>
      </c>
    </row>
    <row r="203" spans="1:16" ht="18" customHeight="1" x14ac:dyDescent="0.25">
      <c r="A203" s="297"/>
      <c r="B203" s="298">
        <v>42233</v>
      </c>
      <c r="C203" s="299">
        <v>20</v>
      </c>
      <c r="D203" s="300">
        <v>47.45</v>
      </c>
      <c r="E203" s="300">
        <v>0</v>
      </c>
      <c r="F203" s="300">
        <f t="shared" si="10"/>
        <v>949</v>
      </c>
      <c r="G203" s="298">
        <v>42340</v>
      </c>
      <c r="H203" s="299">
        <v>150</v>
      </c>
      <c r="I203" s="300">
        <v>30.55</v>
      </c>
      <c r="J203" s="300">
        <v>0.08</v>
      </c>
      <c r="K203" s="300">
        <f t="shared" si="11"/>
        <v>4582.42</v>
      </c>
      <c r="L203" s="301"/>
      <c r="M203" s="300"/>
      <c r="N203" s="300"/>
      <c r="O203" s="302"/>
    </row>
    <row r="204" spans="1:16" ht="18" customHeight="1" x14ac:dyDescent="0.25">
      <c r="A204" s="297"/>
      <c r="B204" s="298">
        <v>42298</v>
      </c>
      <c r="C204" s="299">
        <v>35</v>
      </c>
      <c r="D204" s="300">
        <v>44.3</v>
      </c>
      <c r="E204" s="300">
        <v>0</v>
      </c>
      <c r="F204" s="300">
        <f t="shared" si="10"/>
        <v>1550.5</v>
      </c>
      <c r="G204" s="298">
        <v>42342</v>
      </c>
      <c r="H204" s="299">
        <v>150</v>
      </c>
      <c r="I204" s="300">
        <v>30.45</v>
      </c>
      <c r="J204" s="300">
        <v>0.08</v>
      </c>
      <c r="K204" s="300">
        <f t="shared" si="11"/>
        <v>4567.42</v>
      </c>
      <c r="L204" s="301"/>
      <c r="M204" s="300"/>
      <c r="N204" s="300"/>
      <c r="O204" s="302"/>
    </row>
    <row r="205" spans="1:16" ht="18" customHeight="1" x14ac:dyDescent="0.25">
      <c r="A205" s="297"/>
      <c r="B205" s="298">
        <v>42299</v>
      </c>
      <c r="C205" s="299">
        <v>70</v>
      </c>
      <c r="D205" s="300">
        <v>41.35</v>
      </c>
      <c r="E205" s="300">
        <v>0</v>
      </c>
      <c r="F205" s="300">
        <f t="shared" si="10"/>
        <v>2894.5</v>
      </c>
      <c r="G205" s="298">
        <v>42345</v>
      </c>
      <c r="H205" s="299">
        <v>100</v>
      </c>
      <c r="I205" s="300">
        <v>34.5</v>
      </c>
      <c r="J205" s="300">
        <v>0.06</v>
      </c>
      <c r="K205" s="300">
        <f t="shared" si="11"/>
        <v>3449.94</v>
      </c>
      <c r="L205" s="301"/>
      <c r="M205" s="300"/>
      <c r="N205" s="300"/>
      <c r="O205" s="302"/>
      <c r="P205" s="140"/>
    </row>
    <row r="206" spans="1:16" ht="18" customHeight="1" x14ac:dyDescent="0.25">
      <c r="A206" s="297"/>
      <c r="B206" s="298">
        <v>42299</v>
      </c>
      <c r="C206" s="299">
        <v>60</v>
      </c>
      <c r="D206" s="300">
        <v>40.229999999999997</v>
      </c>
      <c r="E206" s="300">
        <v>0</v>
      </c>
      <c r="F206" s="300">
        <f t="shared" si="10"/>
        <v>2413.7999999999997</v>
      </c>
      <c r="G206" s="298">
        <v>42356</v>
      </c>
      <c r="H206" s="299">
        <v>150</v>
      </c>
      <c r="I206" s="300">
        <v>43.25</v>
      </c>
      <c r="J206" s="300">
        <v>0.12</v>
      </c>
      <c r="K206" s="300">
        <f t="shared" si="11"/>
        <v>6487.38</v>
      </c>
      <c r="L206" s="301"/>
      <c r="M206" s="300"/>
      <c r="N206" s="300"/>
      <c r="O206" s="302"/>
    </row>
    <row r="207" spans="1:16" ht="18" customHeight="1" x14ac:dyDescent="0.25">
      <c r="A207" s="297"/>
      <c r="B207" s="298">
        <v>42300</v>
      </c>
      <c r="C207" s="299">
        <v>100</v>
      </c>
      <c r="D207" s="300">
        <v>39.57</v>
      </c>
      <c r="E207" s="300">
        <v>0</v>
      </c>
      <c r="F207" s="300">
        <f t="shared" si="10"/>
        <v>3957</v>
      </c>
      <c r="G207" s="298">
        <v>42359</v>
      </c>
      <c r="H207" s="299">
        <v>20</v>
      </c>
      <c r="I207" s="300">
        <v>51.05</v>
      </c>
      <c r="J207" s="300">
        <v>0.02</v>
      </c>
      <c r="K207" s="300">
        <f t="shared" si="11"/>
        <v>1020.98</v>
      </c>
      <c r="L207" s="301"/>
      <c r="M207" s="300"/>
      <c r="N207" s="300"/>
      <c r="O207" s="302"/>
    </row>
    <row r="208" spans="1:16" ht="18" customHeight="1" x14ac:dyDescent="0.25">
      <c r="A208" s="297"/>
      <c r="B208" s="298">
        <v>42304</v>
      </c>
      <c r="C208" s="299">
        <v>100</v>
      </c>
      <c r="D208" s="300">
        <v>37.950000000000003</v>
      </c>
      <c r="E208" s="300">
        <v>0</v>
      </c>
      <c r="F208" s="300">
        <f t="shared" si="10"/>
        <v>3795.0000000000005</v>
      </c>
      <c r="G208" s="298">
        <v>42361</v>
      </c>
      <c r="H208" s="299">
        <v>30</v>
      </c>
      <c r="I208" s="300">
        <v>57.95</v>
      </c>
      <c r="J208" s="300">
        <v>0.03</v>
      </c>
      <c r="K208" s="300">
        <f t="shared" si="11"/>
        <v>1738.47</v>
      </c>
      <c r="L208" s="301"/>
      <c r="M208" s="300"/>
      <c r="N208" s="300"/>
      <c r="O208" s="302"/>
      <c r="P208" s="140"/>
    </row>
    <row r="209" spans="1:16" ht="18" customHeight="1" x14ac:dyDescent="0.25">
      <c r="A209" s="297"/>
      <c r="B209" s="298">
        <v>42311</v>
      </c>
      <c r="C209" s="299">
        <v>150</v>
      </c>
      <c r="D209" s="300">
        <v>30.5</v>
      </c>
      <c r="E209" s="300">
        <v>6.95</v>
      </c>
      <c r="F209" s="300">
        <f t="shared" si="10"/>
        <v>4581.95</v>
      </c>
      <c r="G209" s="298">
        <v>42426</v>
      </c>
      <c r="H209" s="299">
        <v>50</v>
      </c>
      <c r="I209" s="300">
        <v>19.149999999999999</v>
      </c>
      <c r="J209" s="300">
        <v>0.02</v>
      </c>
      <c r="K209" s="300">
        <f t="shared" si="11"/>
        <v>957.4799999999999</v>
      </c>
      <c r="L209" s="301"/>
      <c r="M209" s="300"/>
      <c r="N209" s="300"/>
      <c r="O209" s="302"/>
    </row>
    <row r="210" spans="1:16" ht="18" customHeight="1" x14ac:dyDescent="0.25">
      <c r="A210" s="297"/>
      <c r="B210" s="298">
        <v>42314</v>
      </c>
      <c r="C210" s="299">
        <v>150</v>
      </c>
      <c r="D210" s="300">
        <v>30.65</v>
      </c>
      <c r="E210" s="300">
        <v>0</v>
      </c>
      <c r="F210" s="300">
        <f t="shared" si="10"/>
        <v>4597.5</v>
      </c>
      <c r="G210" s="298">
        <v>42430</v>
      </c>
      <c r="H210" s="299">
        <v>75</v>
      </c>
      <c r="I210" s="300">
        <v>18.350000000000001</v>
      </c>
      <c r="J210" s="300">
        <v>0.03</v>
      </c>
      <c r="K210" s="300">
        <f t="shared" si="11"/>
        <v>1376.22</v>
      </c>
      <c r="L210" s="301"/>
      <c r="M210" s="300"/>
      <c r="N210" s="300"/>
      <c r="O210" s="302"/>
    </row>
    <row r="211" spans="1:16" ht="18" customHeight="1" x14ac:dyDescent="0.25">
      <c r="A211" s="297"/>
      <c r="B211" s="298">
        <v>42317</v>
      </c>
      <c r="C211" s="299">
        <v>150</v>
      </c>
      <c r="D211" s="300">
        <v>30.65</v>
      </c>
      <c r="E211" s="300">
        <v>0</v>
      </c>
      <c r="F211" s="300">
        <f t="shared" si="10"/>
        <v>4597.5</v>
      </c>
      <c r="G211" s="298">
        <v>42432</v>
      </c>
      <c r="H211" s="299">
        <v>50</v>
      </c>
      <c r="I211" s="300">
        <v>20.67</v>
      </c>
      <c r="J211" s="300">
        <v>0.02</v>
      </c>
      <c r="K211" s="300">
        <f t="shared" si="11"/>
        <v>1033.48</v>
      </c>
      <c r="L211" s="301"/>
      <c r="M211" s="300"/>
      <c r="N211" s="300"/>
      <c r="O211" s="302"/>
    </row>
    <row r="212" spans="1:16" ht="18" customHeight="1" x14ac:dyDescent="0.25">
      <c r="A212" s="300"/>
      <c r="B212" s="298">
        <v>42340</v>
      </c>
      <c r="C212" s="299">
        <v>150</v>
      </c>
      <c r="D212" s="300">
        <v>30.21</v>
      </c>
      <c r="E212" s="300">
        <v>0</v>
      </c>
      <c r="F212" s="300">
        <f t="shared" si="10"/>
        <v>4531.5</v>
      </c>
      <c r="G212" s="298">
        <v>42437</v>
      </c>
      <c r="H212" s="299">
        <v>25</v>
      </c>
      <c r="I212" s="300">
        <v>26.85</v>
      </c>
      <c r="J212" s="300">
        <v>0.01</v>
      </c>
      <c r="K212" s="300">
        <f t="shared" si="11"/>
        <v>671.24</v>
      </c>
      <c r="L212" s="300"/>
      <c r="M212" s="300"/>
      <c r="N212" s="300"/>
      <c r="O212" s="300"/>
    </row>
    <row r="213" spans="1:16" ht="18" customHeight="1" x14ac:dyDescent="0.25">
      <c r="A213" s="300"/>
      <c r="B213" s="298">
        <v>42408</v>
      </c>
      <c r="C213" s="299">
        <v>25</v>
      </c>
      <c r="D213" s="300">
        <v>26.59</v>
      </c>
      <c r="E213" s="300">
        <v>0</v>
      </c>
      <c r="F213" s="300">
        <f t="shared" si="10"/>
        <v>664.75</v>
      </c>
      <c r="G213" s="298">
        <v>42466</v>
      </c>
      <c r="H213" s="299">
        <v>30</v>
      </c>
      <c r="I213" s="300">
        <v>28.08</v>
      </c>
      <c r="J213" s="300">
        <v>0.02</v>
      </c>
      <c r="K213" s="300">
        <f t="shared" si="11"/>
        <v>842.38</v>
      </c>
      <c r="L213" s="300"/>
      <c r="M213" s="300"/>
      <c r="N213" s="300"/>
      <c r="O213" s="300"/>
    </row>
    <row r="214" spans="1:16" ht="18" customHeight="1" x14ac:dyDescent="0.25">
      <c r="A214" s="300"/>
      <c r="B214" s="298">
        <v>42423</v>
      </c>
      <c r="C214" s="299">
        <v>50</v>
      </c>
      <c r="D214" s="300">
        <v>18.149999999999999</v>
      </c>
      <c r="E214" s="300">
        <v>0</v>
      </c>
      <c r="F214" s="300">
        <f t="shared" si="10"/>
        <v>907.49999999999989</v>
      </c>
      <c r="G214" s="298">
        <v>42471</v>
      </c>
      <c r="H214" s="299">
        <v>30</v>
      </c>
      <c r="I214" s="300">
        <v>29.37</v>
      </c>
      <c r="J214" s="300">
        <v>0.02</v>
      </c>
      <c r="K214" s="300">
        <f t="shared" si="11"/>
        <v>881.08</v>
      </c>
      <c r="L214" s="300"/>
      <c r="M214" s="300"/>
      <c r="N214" s="300"/>
      <c r="O214" s="300"/>
    </row>
    <row r="215" spans="1:16" ht="18" customHeight="1" x14ac:dyDescent="0.25">
      <c r="A215" s="300"/>
      <c r="B215" s="298">
        <v>42426</v>
      </c>
      <c r="C215" s="299">
        <v>50</v>
      </c>
      <c r="D215" s="300">
        <v>18.7</v>
      </c>
      <c r="E215" s="300">
        <v>0</v>
      </c>
      <c r="F215" s="300">
        <f t="shared" si="10"/>
        <v>935</v>
      </c>
      <c r="G215" s="298">
        <v>42480</v>
      </c>
      <c r="H215" s="299">
        <v>100</v>
      </c>
      <c r="I215" s="300">
        <v>31.79</v>
      </c>
      <c r="J215" s="300">
        <v>7.0000000000000007E-2</v>
      </c>
      <c r="K215" s="300">
        <f t="shared" si="11"/>
        <v>3178.93</v>
      </c>
      <c r="L215" s="300"/>
      <c r="M215" s="300"/>
      <c r="N215" s="300"/>
      <c r="O215" s="300"/>
    </row>
    <row r="216" spans="1:16" ht="18" customHeight="1" x14ac:dyDescent="0.25">
      <c r="A216" s="300"/>
      <c r="B216" s="298">
        <v>42430</v>
      </c>
      <c r="C216" s="299">
        <v>75</v>
      </c>
      <c r="D216" s="300">
        <v>17.989999999999998</v>
      </c>
      <c r="E216" s="300">
        <v>0</v>
      </c>
      <c r="F216" s="300">
        <f t="shared" si="10"/>
        <v>1349.2499999999998</v>
      </c>
      <c r="G216" s="298">
        <v>42486</v>
      </c>
      <c r="H216" s="299">
        <v>60</v>
      </c>
      <c r="I216" s="300">
        <v>32.5</v>
      </c>
      <c r="J216" s="300">
        <v>0.04</v>
      </c>
      <c r="K216" s="300">
        <f t="shared" si="11"/>
        <v>1949.96</v>
      </c>
      <c r="L216" s="300"/>
      <c r="M216" s="300"/>
      <c r="N216" s="300"/>
      <c r="O216" s="300"/>
    </row>
    <row r="217" spans="1:16" ht="18" customHeight="1" x14ac:dyDescent="0.25">
      <c r="A217" s="300"/>
      <c r="B217" s="298">
        <v>42451</v>
      </c>
      <c r="C217" s="299">
        <v>30</v>
      </c>
      <c r="D217" s="300">
        <v>25.08</v>
      </c>
      <c r="E217" s="300">
        <v>0</v>
      </c>
      <c r="F217" s="300">
        <f t="shared" si="10"/>
        <v>752.4</v>
      </c>
      <c r="G217" s="298">
        <v>42500</v>
      </c>
      <c r="H217" s="299">
        <v>200</v>
      </c>
      <c r="I217" s="300">
        <v>18.649999999999999</v>
      </c>
      <c r="J217" s="300">
        <v>0.08</v>
      </c>
      <c r="K217" s="300">
        <f t="shared" si="11"/>
        <v>3729.9199999999996</v>
      </c>
      <c r="L217" s="300"/>
      <c r="M217" s="300"/>
      <c r="N217" s="300"/>
      <c r="O217" s="300"/>
      <c r="P217" s="140"/>
    </row>
    <row r="218" spans="1:16" ht="18" customHeight="1" x14ac:dyDescent="0.25">
      <c r="A218" s="300"/>
      <c r="B218" s="298">
        <v>42471</v>
      </c>
      <c r="C218" s="299">
        <v>30</v>
      </c>
      <c r="D218" s="300">
        <v>28.67</v>
      </c>
      <c r="E218" s="300">
        <v>0</v>
      </c>
      <c r="F218" s="300">
        <f t="shared" si="10"/>
        <v>860.1</v>
      </c>
      <c r="G218" s="298">
        <v>42510</v>
      </c>
      <c r="H218" s="299">
        <v>130</v>
      </c>
      <c r="I218" s="300">
        <v>21.35</v>
      </c>
      <c r="J218" s="300">
        <v>0.06</v>
      </c>
      <c r="K218" s="300">
        <f t="shared" si="11"/>
        <v>2775.44</v>
      </c>
      <c r="L218" s="300"/>
      <c r="M218" s="300"/>
      <c r="N218" s="300"/>
      <c r="O218" s="300"/>
    </row>
    <row r="219" spans="1:16" ht="18" customHeight="1" x14ac:dyDescent="0.25">
      <c r="A219" s="300"/>
      <c r="B219" s="298">
        <v>42485</v>
      </c>
      <c r="C219" s="299">
        <v>100</v>
      </c>
      <c r="D219" s="300">
        <v>31.25</v>
      </c>
      <c r="E219" s="300">
        <v>0</v>
      </c>
      <c r="F219" s="300">
        <f t="shared" si="10"/>
        <v>3125</v>
      </c>
      <c r="G219" s="298">
        <v>42513</v>
      </c>
      <c r="H219" s="299">
        <v>70</v>
      </c>
      <c r="I219" s="300">
        <v>23.68</v>
      </c>
      <c r="J219" s="300">
        <v>0.04</v>
      </c>
      <c r="K219" s="300">
        <f t="shared" si="11"/>
        <v>1657.56</v>
      </c>
      <c r="L219" s="300"/>
      <c r="M219" s="300"/>
      <c r="N219" s="300"/>
      <c r="O219" s="300"/>
    </row>
    <row r="220" spans="1:16" ht="18" customHeight="1" x14ac:dyDescent="0.25">
      <c r="A220" s="300"/>
      <c r="B220" s="298">
        <v>42489</v>
      </c>
      <c r="C220" s="299">
        <v>60</v>
      </c>
      <c r="D220" s="300">
        <v>30.51</v>
      </c>
      <c r="E220" s="300">
        <v>0</v>
      </c>
      <c r="F220" s="300">
        <f t="shared" si="10"/>
        <v>1830.6000000000001</v>
      </c>
      <c r="G220" s="298">
        <v>42513</v>
      </c>
      <c r="H220" s="299">
        <v>40</v>
      </c>
      <c r="I220" s="300">
        <v>23.55</v>
      </c>
      <c r="J220" s="300">
        <v>0.02</v>
      </c>
      <c r="K220" s="300">
        <f t="shared" si="11"/>
        <v>941.98</v>
      </c>
      <c r="L220" s="300"/>
      <c r="M220" s="300"/>
      <c r="N220" s="300"/>
      <c r="O220" s="300"/>
    </row>
    <row r="221" spans="1:16" ht="18" customHeight="1" x14ac:dyDescent="0.25">
      <c r="A221" s="300"/>
      <c r="B221" s="298">
        <v>42493</v>
      </c>
      <c r="C221" s="299">
        <v>30</v>
      </c>
      <c r="D221" s="300">
        <v>26.75</v>
      </c>
      <c r="E221" s="300">
        <v>0</v>
      </c>
      <c r="F221" s="300">
        <f t="shared" si="10"/>
        <v>802.5</v>
      </c>
      <c r="G221" s="298">
        <v>42527</v>
      </c>
      <c r="H221" s="299">
        <v>60</v>
      </c>
      <c r="I221" s="300">
        <v>22.79</v>
      </c>
      <c r="J221" s="300">
        <v>0.03</v>
      </c>
      <c r="K221" s="300">
        <f t="shared" si="11"/>
        <v>1367.37</v>
      </c>
      <c r="L221" s="300"/>
      <c r="M221" s="300"/>
      <c r="N221" s="300"/>
      <c r="O221" s="300"/>
    </row>
    <row r="222" spans="1:16" ht="18" customHeight="1" x14ac:dyDescent="0.25">
      <c r="A222" s="300"/>
      <c r="B222" s="298">
        <v>42495</v>
      </c>
      <c r="C222" s="299">
        <v>70</v>
      </c>
      <c r="D222" s="300">
        <v>21.65</v>
      </c>
      <c r="E222" s="300">
        <v>0</v>
      </c>
      <c r="F222" s="300">
        <f t="shared" si="10"/>
        <v>1515.5</v>
      </c>
      <c r="G222" s="298">
        <v>42541</v>
      </c>
      <c r="H222" s="299">
        <v>70</v>
      </c>
      <c r="I222" s="300">
        <v>22.45</v>
      </c>
      <c r="J222" s="300">
        <v>0.03</v>
      </c>
      <c r="K222" s="300">
        <f t="shared" si="11"/>
        <v>1571.47</v>
      </c>
      <c r="L222" s="300"/>
      <c r="M222" s="300"/>
      <c r="N222" s="300"/>
      <c r="O222" s="300"/>
    </row>
    <row r="223" spans="1:16" ht="18" customHeight="1" x14ac:dyDescent="0.25">
      <c r="A223" s="300"/>
      <c r="B223" s="298">
        <v>42500</v>
      </c>
      <c r="C223" s="299">
        <v>200</v>
      </c>
      <c r="D223" s="300">
        <v>18.25</v>
      </c>
      <c r="E223" s="300">
        <v>0</v>
      </c>
      <c r="F223" s="300">
        <f t="shared" si="10"/>
        <v>3650</v>
      </c>
      <c r="G223" s="300"/>
      <c r="H223" s="300"/>
      <c r="I223" s="300"/>
      <c r="J223" s="300"/>
      <c r="K223" s="300"/>
      <c r="L223" s="300"/>
      <c r="M223" s="300"/>
      <c r="N223" s="300"/>
      <c r="O223" s="300"/>
    </row>
    <row r="224" spans="1:16" ht="18" customHeight="1" x14ac:dyDescent="0.25">
      <c r="A224" s="300"/>
      <c r="B224" s="298">
        <v>42500</v>
      </c>
      <c r="C224" s="299">
        <v>100</v>
      </c>
      <c r="D224" s="300">
        <v>16.510000000000002</v>
      </c>
      <c r="E224" s="300">
        <v>0</v>
      </c>
      <c r="F224" s="300">
        <f t="shared" si="10"/>
        <v>1651.0000000000002</v>
      </c>
      <c r="G224" s="300"/>
      <c r="H224" s="300"/>
      <c r="I224" s="300"/>
      <c r="J224" s="300"/>
      <c r="K224" s="300"/>
      <c r="L224" s="300"/>
      <c r="M224" s="300"/>
      <c r="N224" s="300"/>
      <c r="O224" s="300"/>
      <c r="P224" s="140"/>
    </row>
    <row r="225" spans="1:16" ht="18" customHeight="1" x14ac:dyDescent="0.25">
      <c r="A225" s="297"/>
      <c r="B225" s="326">
        <v>42531</v>
      </c>
      <c r="C225" s="299">
        <v>70</v>
      </c>
      <c r="D225" s="324">
        <v>21.65</v>
      </c>
      <c r="E225" s="300">
        <v>0</v>
      </c>
      <c r="F225" s="324">
        <f t="shared" si="10"/>
        <v>1515.5</v>
      </c>
      <c r="G225" s="326"/>
      <c r="H225" s="323"/>
      <c r="I225" s="324"/>
      <c r="J225" s="323"/>
      <c r="K225" s="324"/>
      <c r="L225" s="322"/>
      <c r="M225" s="324"/>
      <c r="N225" s="319"/>
      <c r="O225" s="321"/>
    </row>
    <row r="226" spans="1:16" ht="18" customHeight="1" x14ac:dyDescent="0.25">
      <c r="A226" s="316"/>
      <c r="B226" s="320"/>
      <c r="C226" s="318">
        <f>SUM(C199:C225)</f>
        <v>1925</v>
      </c>
      <c r="D226" s="319"/>
      <c r="E226" s="320"/>
      <c r="F226" s="319">
        <f>SUM(F199:F225)</f>
        <v>55975.85</v>
      </c>
      <c r="G226" s="320"/>
      <c r="H226" s="318">
        <f>SUM(H199:H225)</f>
        <v>1925</v>
      </c>
      <c r="I226" s="319"/>
      <c r="J226" s="318"/>
      <c r="K226" s="319">
        <f>SUM(K199:K225)</f>
        <v>56062.910000000011</v>
      </c>
      <c r="L226" s="320"/>
      <c r="M226" s="319"/>
      <c r="N226" s="319">
        <f>K226-F226</f>
        <v>87.060000000012224</v>
      </c>
      <c r="O226" s="321">
        <f>(N226+M226)/F226</f>
        <v>1.5553135861270928E-3</v>
      </c>
    </row>
    <row r="227" spans="1:16" ht="18" customHeight="1" x14ac:dyDescent="0.25">
      <c r="B227" s="312"/>
      <c r="C227" s="313"/>
      <c r="D227" s="314"/>
      <c r="E227" s="25"/>
      <c r="F227" s="314"/>
      <c r="G227" s="312"/>
      <c r="H227" s="313"/>
      <c r="I227" s="314"/>
      <c r="K227" s="314"/>
      <c r="L227" s="312"/>
      <c r="M227" s="314"/>
      <c r="N227" s="432"/>
      <c r="O227" s="433"/>
      <c r="P227" s="140"/>
    </row>
    <row r="228" spans="1:16" ht="18" customHeight="1" x14ac:dyDescent="0.25">
      <c r="A228" s="297" t="s">
        <v>46</v>
      </c>
      <c r="B228" s="326">
        <v>42185</v>
      </c>
      <c r="C228" s="323">
        <v>20</v>
      </c>
      <c r="D228" s="324">
        <v>28.2</v>
      </c>
      <c r="E228" s="322"/>
      <c r="F228" s="324">
        <f>C228*D228</f>
        <v>564</v>
      </c>
      <c r="G228" s="326">
        <v>42187</v>
      </c>
      <c r="H228" s="323">
        <v>20</v>
      </c>
      <c r="I228" s="324">
        <v>28.75</v>
      </c>
      <c r="J228" s="323">
        <v>0.01</v>
      </c>
      <c r="K228" s="324">
        <f>H228*I228-J228</f>
        <v>574.99</v>
      </c>
      <c r="L228" s="322"/>
      <c r="M228" s="324"/>
      <c r="N228" s="319"/>
      <c r="O228" s="321"/>
      <c r="P228" s="140"/>
    </row>
    <row r="229" spans="1:16" ht="18" customHeight="1" x14ac:dyDescent="0.25">
      <c r="A229" s="316"/>
      <c r="B229" s="320"/>
      <c r="C229" s="318">
        <f>SUM(C228)</f>
        <v>20</v>
      </c>
      <c r="D229" s="319"/>
      <c r="E229" s="320"/>
      <c r="F229" s="319">
        <f>SUM(F228)</f>
        <v>564</v>
      </c>
      <c r="G229" s="320"/>
      <c r="H229" s="318">
        <f>SUM(H228)</f>
        <v>20</v>
      </c>
      <c r="I229" s="319"/>
      <c r="J229" s="318"/>
      <c r="K229" s="319">
        <f>SUM(K228)</f>
        <v>574.99</v>
      </c>
      <c r="L229" s="320"/>
      <c r="M229" s="319"/>
      <c r="N229" s="319">
        <f>K229-F229</f>
        <v>10.990000000000009</v>
      </c>
      <c r="O229" s="321">
        <f>(N229+M229)/F229</f>
        <v>1.9485815602836895E-2</v>
      </c>
    </row>
    <row r="230" spans="1:16" ht="18" customHeight="1" x14ac:dyDescent="0.25">
      <c r="B230" s="312"/>
      <c r="C230" s="313"/>
      <c r="D230" s="314"/>
      <c r="E230" s="314"/>
      <c r="F230" s="314"/>
      <c r="G230" s="312"/>
      <c r="H230" s="313"/>
      <c r="I230" s="314"/>
      <c r="J230" s="314"/>
      <c r="K230" s="314"/>
      <c r="L230" s="312"/>
      <c r="M230" s="314"/>
      <c r="N230" s="314"/>
      <c r="O230" s="315"/>
    </row>
    <row r="231" spans="1:16" ht="18" customHeight="1" x14ac:dyDescent="0.25">
      <c r="A231" s="297" t="s">
        <v>28</v>
      </c>
      <c r="B231" s="298">
        <v>42164</v>
      </c>
      <c r="C231" s="299">
        <v>20</v>
      </c>
      <c r="D231" s="300">
        <v>29.9</v>
      </c>
      <c r="E231" s="300"/>
      <c r="F231" s="300">
        <f>C231*D231</f>
        <v>598</v>
      </c>
      <c r="G231" s="298">
        <v>42187</v>
      </c>
      <c r="H231" s="299">
        <v>40</v>
      </c>
      <c r="I231" s="300">
        <v>30.4</v>
      </c>
      <c r="J231" s="300">
        <v>0.02</v>
      </c>
      <c r="K231" s="300">
        <f>H231*I231-J231</f>
        <v>1215.98</v>
      </c>
      <c r="L231" s="301"/>
      <c r="M231" s="300"/>
      <c r="N231" s="300"/>
      <c r="O231" s="302"/>
      <c r="P231" s="140" t="s">
        <v>133</v>
      </c>
    </row>
    <row r="232" spans="1:16" ht="18" customHeight="1" x14ac:dyDescent="0.25">
      <c r="A232" s="297"/>
      <c r="B232" s="298">
        <v>42166</v>
      </c>
      <c r="C232" s="299">
        <v>20</v>
      </c>
      <c r="D232" s="300">
        <v>29.3</v>
      </c>
      <c r="E232" s="300"/>
      <c r="F232" s="300">
        <f>C232*D232</f>
        <v>586</v>
      </c>
      <c r="G232" s="301"/>
      <c r="H232" s="299"/>
      <c r="I232" s="300"/>
      <c r="J232" s="299"/>
      <c r="K232" s="300"/>
      <c r="L232" s="301"/>
      <c r="M232" s="300"/>
      <c r="N232" s="300"/>
      <c r="O232" s="302"/>
    </row>
    <row r="233" spans="1:16" ht="18" customHeight="1" x14ac:dyDescent="0.25">
      <c r="A233" s="297"/>
      <c r="B233" s="303"/>
      <c r="C233" s="304">
        <f>SUM(C231:C232)</f>
        <v>40</v>
      </c>
      <c r="D233" s="305"/>
      <c r="E233" s="305"/>
      <c r="F233" s="305">
        <f>SUM(F231:F232)</f>
        <v>1184</v>
      </c>
      <c r="G233" s="306"/>
      <c r="H233" s="304">
        <f>SUM(H231:H232)</f>
        <v>40</v>
      </c>
      <c r="I233" s="305"/>
      <c r="J233" s="305"/>
      <c r="K233" s="305">
        <f>SUM(K231:K232)</f>
        <v>1215.98</v>
      </c>
      <c r="L233" s="306"/>
      <c r="M233" s="305"/>
      <c r="N233" s="305">
        <f>K233-F233</f>
        <v>31.980000000000018</v>
      </c>
      <c r="O233" s="307">
        <f>(N233+M233)/F233</f>
        <v>2.7010135135135151E-2</v>
      </c>
      <c r="P233" s="236"/>
    </row>
    <row r="234" spans="1:16" ht="18" customHeight="1" x14ac:dyDescent="0.25">
      <c r="B234" s="325"/>
      <c r="C234" s="313"/>
      <c r="D234" s="314"/>
      <c r="E234" s="313"/>
      <c r="F234" s="314"/>
      <c r="G234" s="312"/>
      <c r="H234" s="313"/>
      <c r="I234" s="314"/>
      <c r="J234" s="313"/>
      <c r="K234" s="314"/>
      <c r="L234" s="312"/>
      <c r="M234" s="314"/>
      <c r="N234" s="312"/>
      <c r="O234" s="312"/>
    </row>
    <row r="235" spans="1:16" ht="18" customHeight="1" x14ac:dyDescent="0.25">
      <c r="A235" s="297" t="s">
        <v>44</v>
      </c>
      <c r="B235" s="298">
        <v>42185</v>
      </c>
      <c r="C235" s="299">
        <v>10</v>
      </c>
      <c r="D235" s="300">
        <v>71.2</v>
      </c>
      <c r="E235" s="299"/>
      <c r="F235" s="300">
        <f>C235*D235</f>
        <v>712</v>
      </c>
      <c r="G235" s="298">
        <v>42228</v>
      </c>
      <c r="H235" s="299">
        <v>10</v>
      </c>
      <c r="I235" s="300">
        <v>75.5</v>
      </c>
      <c r="J235" s="299">
        <v>0.01</v>
      </c>
      <c r="K235" s="300">
        <f>H235*I235-J235</f>
        <v>754.99</v>
      </c>
      <c r="L235" s="298">
        <v>42277</v>
      </c>
      <c r="M235" s="300">
        <v>2.83</v>
      </c>
      <c r="N235" s="301"/>
      <c r="O235" s="301"/>
    </row>
    <row r="236" spans="1:16" ht="18" customHeight="1" x14ac:dyDescent="0.25">
      <c r="A236" s="297"/>
      <c r="B236" s="298">
        <v>42220</v>
      </c>
      <c r="C236" s="299">
        <v>5</v>
      </c>
      <c r="D236" s="300">
        <v>70.650000000000006</v>
      </c>
      <c r="E236" s="300"/>
      <c r="F236" s="300">
        <f>C236*D236</f>
        <v>353.25</v>
      </c>
      <c r="G236" s="298">
        <v>42283</v>
      </c>
      <c r="H236" s="299">
        <v>5</v>
      </c>
      <c r="I236" s="300">
        <v>71.25</v>
      </c>
      <c r="J236" s="299">
        <v>0.01</v>
      </c>
      <c r="K236" s="300">
        <f>H236*I236-J236</f>
        <v>356.24</v>
      </c>
      <c r="L236" s="301"/>
      <c r="M236" s="299"/>
      <c r="N236" s="301"/>
      <c r="O236" s="301"/>
    </row>
    <row r="237" spans="1:16" ht="18" customHeight="1" x14ac:dyDescent="0.25">
      <c r="A237" s="297"/>
      <c r="B237" s="306"/>
      <c r="C237" s="304">
        <f>SUM(C235:C236)</f>
        <v>15</v>
      </c>
      <c r="D237" s="305"/>
      <c r="E237" s="305"/>
      <c r="F237" s="305">
        <f>SUM(F235:F236)</f>
        <v>1065.25</v>
      </c>
      <c r="G237" s="306"/>
      <c r="H237" s="304">
        <f>SUM(H235:H236)</f>
        <v>15</v>
      </c>
      <c r="I237" s="305"/>
      <c r="J237" s="305"/>
      <c r="K237" s="305">
        <f>SUM(K235:K236)</f>
        <v>1111.23</v>
      </c>
      <c r="L237" s="330"/>
      <c r="M237" s="305">
        <f>SUM(M235:M236)</f>
        <v>2.83</v>
      </c>
      <c r="N237" s="305">
        <f>K237-F237</f>
        <v>45.980000000000018</v>
      </c>
      <c r="O237" s="331">
        <f>(N237+M237)/F237</f>
        <v>4.5820229992959413E-2</v>
      </c>
    </row>
    <row r="238" spans="1:16" ht="18" customHeight="1" x14ac:dyDescent="0.25">
      <c r="B238" s="312"/>
      <c r="C238" s="313"/>
      <c r="D238" s="314"/>
      <c r="E238" s="25"/>
      <c r="F238" s="314"/>
      <c r="G238" s="312"/>
      <c r="H238" s="313"/>
      <c r="I238" s="314"/>
      <c r="K238" s="314"/>
      <c r="L238" s="312"/>
      <c r="M238" s="314"/>
      <c r="N238" s="314"/>
      <c r="O238" s="315"/>
    </row>
    <row r="239" spans="1:16" ht="18" customHeight="1" x14ac:dyDescent="0.25">
      <c r="A239" s="297" t="s">
        <v>0</v>
      </c>
      <c r="B239" s="298">
        <v>42144</v>
      </c>
      <c r="C239" s="299">
        <v>50</v>
      </c>
      <c r="D239" s="300">
        <v>130.16999999999999</v>
      </c>
      <c r="E239" s="301"/>
      <c r="F239" s="300">
        <f>C239*D239</f>
        <v>6508.4999999999991</v>
      </c>
      <c r="G239" s="298">
        <v>42186</v>
      </c>
      <c r="H239" s="299">
        <v>50</v>
      </c>
      <c r="I239" s="300">
        <v>133.5</v>
      </c>
      <c r="J239" s="299">
        <v>0.12</v>
      </c>
      <c r="K239" s="300">
        <f>H239*I239-J239</f>
        <v>6674.88</v>
      </c>
      <c r="L239" s="298">
        <v>42200</v>
      </c>
      <c r="M239" s="300">
        <v>7.5</v>
      </c>
      <c r="N239" s="299"/>
      <c r="O239" s="299"/>
    </row>
    <row r="240" spans="1:16" ht="18" customHeight="1" x14ac:dyDescent="0.25">
      <c r="A240" s="297"/>
      <c r="B240" s="303"/>
      <c r="C240" s="304">
        <f>SUM(C239)</f>
        <v>50</v>
      </c>
      <c r="D240" s="305"/>
      <c r="E240" s="306"/>
      <c r="F240" s="305">
        <f>SUM(F239)</f>
        <v>6508.4999999999991</v>
      </c>
      <c r="G240" s="306"/>
      <c r="H240" s="304">
        <f>SUM(H239)</f>
        <v>50</v>
      </c>
      <c r="I240" s="305"/>
      <c r="J240" s="304"/>
      <c r="K240" s="305">
        <f>SUM(K239)</f>
        <v>6674.88</v>
      </c>
      <c r="L240" s="306"/>
      <c r="M240" s="305">
        <f>SUM(M239)</f>
        <v>7.5</v>
      </c>
      <c r="N240" s="305">
        <f>K240-F240</f>
        <v>166.38000000000102</v>
      </c>
      <c r="O240" s="307">
        <f>(N240+M240)/F240</f>
        <v>2.6715833141276953E-2</v>
      </c>
    </row>
    <row r="241" spans="1:20" ht="18" customHeight="1" x14ac:dyDescent="0.25">
      <c r="B241" s="312"/>
      <c r="C241" s="313"/>
      <c r="D241" s="314"/>
      <c r="E241" s="314"/>
      <c r="F241" s="314"/>
      <c r="G241" s="312"/>
      <c r="H241" s="313"/>
      <c r="I241" s="314"/>
      <c r="J241" s="314"/>
      <c r="K241" s="314"/>
      <c r="L241" s="312"/>
      <c r="M241" s="314"/>
      <c r="N241" s="314"/>
      <c r="O241" s="315"/>
    </row>
    <row r="242" spans="1:20" ht="18" customHeight="1" x14ac:dyDescent="0.25">
      <c r="A242" s="297" t="s">
        <v>49</v>
      </c>
      <c r="B242" s="298">
        <v>42186</v>
      </c>
      <c r="C242" s="299">
        <v>100</v>
      </c>
      <c r="D242" s="300">
        <v>27.5</v>
      </c>
      <c r="E242" s="300"/>
      <c r="F242" s="300">
        <f>C242*D242</f>
        <v>2750</v>
      </c>
      <c r="G242" s="298">
        <v>42219</v>
      </c>
      <c r="H242" s="299">
        <v>100</v>
      </c>
      <c r="I242" s="300">
        <v>29.5</v>
      </c>
      <c r="J242" s="299">
        <v>0.05</v>
      </c>
      <c r="K242" s="300">
        <f>H242*I242-J242</f>
        <v>2949.95</v>
      </c>
      <c r="L242" s="298">
        <v>42216</v>
      </c>
      <c r="M242" s="300">
        <v>11</v>
      </c>
      <c r="N242" s="300"/>
      <c r="O242" s="302"/>
    </row>
    <row r="243" spans="1:20" ht="18" customHeight="1" x14ac:dyDescent="0.25">
      <c r="A243" s="297"/>
      <c r="B243" s="303"/>
      <c r="C243" s="304">
        <f>SUM(C242)</f>
        <v>100</v>
      </c>
      <c r="D243" s="305"/>
      <c r="E243" s="306"/>
      <c r="F243" s="305">
        <f>SUM(F242)</f>
        <v>2750</v>
      </c>
      <c r="G243" s="306"/>
      <c r="H243" s="304">
        <f>SUM(H242)</f>
        <v>100</v>
      </c>
      <c r="I243" s="305"/>
      <c r="J243" s="305"/>
      <c r="K243" s="305">
        <f>SUM(K242)</f>
        <v>2949.95</v>
      </c>
      <c r="L243" s="306"/>
      <c r="M243" s="305">
        <v>11</v>
      </c>
      <c r="N243" s="305">
        <f>K243-F243</f>
        <v>199.94999999999982</v>
      </c>
      <c r="O243" s="307">
        <f>(N243+M243)/F243</f>
        <v>7.6709090909090838E-2</v>
      </c>
    </row>
    <row r="244" spans="1:20" ht="18" customHeight="1" x14ac:dyDescent="0.25">
      <c r="B244" s="312"/>
      <c r="C244" s="313"/>
      <c r="D244" s="314"/>
      <c r="E244" s="25"/>
      <c r="F244" s="314"/>
      <c r="G244" s="312"/>
      <c r="H244" s="313"/>
      <c r="I244" s="314"/>
      <c r="K244" s="314"/>
      <c r="L244" s="312"/>
      <c r="M244" s="314"/>
      <c r="N244" s="314"/>
      <c r="O244" s="313"/>
    </row>
    <row r="245" spans="1:20" ht="18" customHeight="1" x14ac:dyDescent="0.25">
      <c r="A245" s="297" t="s">
        <v>13</v>
      </c>
      <c r="B245" s="298">
        <v>42151</v>
      </c>
      <c r="C245" s="299">
        <v>5</v>
      </c>
      <c r="D245" s="300">
        <v>54.2</v>
      </c>
      <c r="E245" s="301"/>
      <c r="F245" s="300">
        <f t="shared" ref="F245:F251" si="12">C245*D245</f>
        <v>271</v>
      </c>
      <c r="G245" s="298">
        <v>42181</v>
      </c>
      <c r="H245" s="299">
        <v>25</v>
      </c>
      <c r="I245" s="300">
        <v>55.4</v>
      </c>
      <c r="J245" s="299">
        <v>0.03</v>
      </c>
      <c r="K245" s="300">
        <f>H245*I245-J245</f>
        <v>1384.97</v>
      </c>
      <c r="L245" s="301"/>
      <c r="M245" s="300"/>
      <c r="N245" s="300"/>
      <c r="O245" s="302"/>
    </row>
    <row r="246" spans="1:20" ht="18" customHeight="1" x14ac:dyDescent="0.25">
      <c r="A246" s="297"/>
      <c r="B246" s="298">
        <v>42152</v>
      </c>
      <c r="C246" s="299">
        <v>20</v>
      </c>
      <c r="D246" s="300">
        <v>53.35</v>
      </c>
      <c r="E246" s="301"/>
      <c r="F246" s="300">
        <f t="shared" si="12"/>
        <v>1067</v>
      </c>
      <c r="G246" s="298">
        <v>42200</v>
      </c>
      <c r="H246" s="299">
        <v>225</v>
      </c>
      <c r="I246" s="300">
        <v>55.56</v>
      </c>
      <c r="J246" s="299">
        <v>0.23</v>
      </c>
      <c r="K246" s="300">
        <f>H246*I246-J246</f>
        <v>12500.77</v>
      </c>
      <c r="L246" s="301"/>
      <c r="M246" s="300"/>
      <c r="N246" s="300"/>
      <c r="O246" s="302"/>
    </row>
    <row r="247" spans="1:20" ht="18" customHeight="1" x14ac:dyDescent="0.25">
      <c r="A247" s="297"/>
      <c r="B247" s="298">
        <v>42153</v>
      </c>
      <c r="C247" s="299">
        <v>25</v>
      </c>
      <c r="D247" s="300">
        <v>52.35</v>
      </c>
      <c r="E247" s="301"/>
      <c r="F247" s="300">
        <f t="shared" si="12"/>
        <v>1308.75</v>
      </c>
      <c r="G247" s="301"/>
      <c r="H247" s="299"/>
      <c r="I247" s="300"/>
      <c r="J247" s="299"/>
      <c r="K247" s="300"/>
      <c r="L247" s="301"/>
      <c r="M247" s="300"/>
      <c r="N247" s="300"/>
      <c r="O247" s="302"/>
    </row>
    <row r="248" spans="1:20" ht="18" customHeight="1" x14ac:dyDescent="0.25">
      <c r="A248" s="297"/>
      <c r="B248" s="298">
        <v>42153</v>
      </c>
      <c r="C248" s="299">
        <v>25</v>
      </c>
      <c r="D248" s="300">
        <v>51.75</v>
      </c>
      <c r="E248" s="301"/>
      <c r="F248" s="300">
        <f t="shared" si="12"/>
        <v>1293.75</v>
      </c>
      <c r="G248" s="301"/>
      <c r="H248" s="299"/>
      <c r="I248" s="300"/>
      <c r="J248" s="299"/>
      <c r="K248" s="300"/>
      <c r="L248" s="301"/>
      <c r="M248" s="300"/>
      <c r="N248" s="300"/>
      <c r="O248" s="302"/>
    </row>
    <row r="249" spans="1:20" ht="18" customHeight="1" x14ac:dyDescent="0.25">
      <c r="A249" s="297"/>
      <c r="B249" s="298">
        <v>42166</v>
      </c>
      <c r="C249" s="299">
        <v>25</v>
      </c>
      <c r="D249" s="300">
        <v>52.1</v>
      </c>
      <c r="E249" s="301"/>
      <c r="F249" s="300">
        <f t="shared" si="12"/>
        <v>1302.5</v>
      </c>
      <c r="G249" s="301"/>
      <c r="H249" s="299"/>
      <c r="I249" s="300"/>
      <c r="J249" s="299"/>
      <c r="K249" s="300"/>
      <c r="L249" s="301"/>
      <c r="M249" s="300"/>
      <c r="N249" s="300"/>
      <c r="O249" s="302"/>
    </row>
    <row r="250" spans="1:20" ht="18" customHeight="1" x14ac:dyDescent="0.25">
      <c r="A250" s="297"/>
      <c r="B250" s="298">
        <v>42166</v>
      </c>
      <c r="C250" s="299">
        <v>50</v>
      </c>
      <c r="D250" s="300">
        <v>51.5</v>
      </c>
      <c r="E250" s="301"/>
      <c r="F250" s="300">
        <f t="shared" si="12"/>
        <v>2575</v>
      </c>
      <c r="G250" s="301"/>
      <c r="H250" s="299"/>
      <c r="I250" s="300"/>
      <c r="J250" s="299"/>
      <c r="K250" s="300"/>
      <c r="L250" s="301"/>
      <c r="M250" s="300"/>
      <c r="N250" s="300"/>
      <c r="O250" s="302"/>
    </row>
    <row r="251" spans="1:20" ht="18" customHeight="1" x14ac:dyDescent="0.25">
      <c r="A251" s="297"/>
      <c r="B251" s="298">
        <v>42166</v>
      </c>
      <c r="C251" s="299">
        <v>100</v>
      </c>
      <c r="D251" s="300">
        <v>51.35</v>
      </c>
      <c r="E251" s="301"/>
      <c r="F251" s="300">
        <f t="shared" si="12"/>
        <v>5135</v>
      </c>
      <c r="G251" s="301"/>
      <c r="H251" s="299"/>
      <c r="I251" s="300"/>
      <c r="J251" s="299"/>
      <c r="K251" s="300"/>
      <c r="L251" s="301"/>
      <c r="M251" s="300"/>
      <c r="N251" s="300"/>
      <c r="O251" s="302"/>
      <c r="Q251" s="448" t="s">
        <v>224</v>
      </c>
      <c r="R251" s="447"/>
      <c r="S251" s="424" t="s">
        <v>219</v>
      </c>
      <c r="T251" s="422"/>
    </row>
    <row r="252" spans="1:20" ht="18" customHeight="1" x14ac:dyDescent="0.25">
      <c r="A252" s="297"/>
      <c r="B252" s="303"/>
      <c r="C252" s="304">
        <f>SUM(C245:C251)</f>
        <v>250</v>
      </c>
      <c r="D252" s="305"/>
      <c r="E252" s="306"/>
      <c r="F252" s="305">
        <f>SUM(F245:F251)</f>
        <v>12953</v>
      </c>
      <c r="G252" s="306"/>
      <c r="H252" s="304">
        <f>SUM(H245:H251)</f>
        <v>250</v>
      </c>
      <c r="I252" s="305"/>
      <c r="J252" s="304"/>
      <c r="K252" s="305">
        <f>SUM(K245:K251)</f>
        <v>13885.74</v>
      </c>
      <c r="L252" s="306"/>
      <c r="M252" s="305"/>
      <c r="N252" s="305">
        <f>K252-F252</f>
        <v>932.73999999999978</v>
      </c>
      <c r="O252" s="307">
        <f>(N252+M252)/F252</f>
        <v>7.2009573071875221E-2</v>
      </c>
      <c r="Q252" s="359">
        <v>42449</v>
      </c>
      <c r="R252" s="447">
        <v>0.02</v>
      </c>
      <c r="S252" s="422">
        <v>2015</v>
      </c>
      <c r="T252" s="422">
        <v>1003.28</v>
      </c>
    </row>
    <row r="253" spans="1:20" ht="18" customHeight="1" x14ac:dyDescent="0.25">
      <c r="B253" s="312"/>
      <c r="C253" s="313"/>
      <c r="D253" s="314"/>
      <c r="E253" s="314"/>
      <c r="F253" s="314"/>
      <c r="G253" s="312"/>
      <c r="H253" s="313"/>
      <c r="I253" s="314"/>
      <c r="J253" s="314"/>
      <c r="K253" s="314"/>
      <c r="L253" s="312"/>
      <c r="M253" s="314"/>
      <c r="N253" s="314"/>
      <c r="O253" s="315"/>
      <c r="Q253" s="359">
        <v>42451</v>
      </c>
      <c r="R253" s="447">
        <v>0.01</v>
      </c>
      <c r="S253" s="469">
        <v>42278</v>
      </c>
      <c r="T253" s="422">
        <v>0.19</v>
      </c>
    </row>
    <row r="254" spans="1:20" ht="18" customHeight="1" x14ac:dyDescent="0.25">
      <c r="A254" s="297" t="s">
        <v>20</v>
      </c>
      <c r="B254" s="298">
        <v>42153</v>
      </c>
      <c r="C254" s="299">
        <v>50</v>
      </c>
      <c r="D254" s="300">
        <v>20.99</v>
      </c>
      <c r="E254" s="301"/>
      <c r="F254" s="300">
        <f>C254*D254</f>
        <v>1049.5</v>
      </c>
      <c r="G254" s="298">
        <v>42186</v>
      </c>
      <c r="H254" s="299">
        <v>297</v>
      </c>
      <c r="I254" s="300">
        <v>19.399999999999999</v>
      </c>
      <c r="J254" s="300">
        <v>0.11</v>
      </c>
      <c r="K254" s="300">
        <f>H254*I254-J254</f>
        <v>5761.69</v>
      </c>
      <c r="L254" s="301"/>
      <c r="M254" s="300"/>
      <c r="N254" s="300"/>
      <c r="O254" s="302"/>
      <c r="Q254" s="487"/>
      <c r="R254" s="447"/>
      <c r="S254" s="469">
        <v>42309</v>
      </c>
      <c r="T254" s="422">
        <v>0.26</v>
      </c>
    </row>
    <row r="255" spans="1:20" ht="18" customHeight="1" x14ac:dyDescent="0.25">
      <c r="A255" s="297"/>
      <c r="B255" s="298">
        <v>42185</v>
      </c>
      <c r="C255" s="299">
        <v>100</v>
      </c>
      <c r="D255" s="300">
        <v>20.6</v>
      </c>
      <c r="E255" s="300"/>
      <c r="F255" s="300">
        <f>C255*D255</f>
        <v>2060</v>
      </c>
      <c r="G255" s="298">
        <v>42186</v>
      </c>
      <c r="H255" s="299">
        <v>300</v>
      </c>
      <c r="I255" s="300">
        <v>20.28</v>
      </c>
      <c r="J255" s="300">
        <v>0.11</v>
      </c>
      <c r="K255" s="300">
        <f>H255*I255-J255</f>
        <v>6083.89</v>
      </c>
      <c r="L255" s="301"/>
      <c r="M255" s="300"/>
      <c r="N255" s="300"/>
      <c r="O255" s="302"/>
      <c r="Q255" s="358"/>
      <c r="R255" s="447"/>
      <c r="S255" s="469">
        <v>42339</v>
      </c>
      <c r="T255" s="422">
        <v>0.23</v>
      </c>
    </row>
    <row r="256" spans="1:20" ht="18" customHeight="1" x14ac:dyDescent="0.25">
      <c r="A256" s="297"/>
      <c r="B256" s="298">
        <v>42186</v>
      </c>
      <c r="C256" s="299">
        <v>150</v>
      </c>
      <c r="D256" s="300">
        <v>19.95</v>
      </c>
      <c r="E256" s="300"/>
      <c r="F256" s="300">
        <f>C256*D256</f>
        <v>2992.5</v>
      </c>
      <c r="G256" s="298">
        <v>42186</v>
      </c>
      <c r="H256" s="299">
        <v>300</v>
      </c>
      <c r="I256" s="300">
        <v>19.75</v>
      </c>
      <c r="J256" s="300">
        <v>0.11</v>
      </c>
      <c r="K256" s="300">
        <f>H256*I256-J256</f>
        <v>5924.89</v>
      </c>
      <c r="L256" s="301"/>
      <c r="M256" s="300"/>
      <c r="N256" s="300"/>
      <c r="O256" s="302"/>
      <c r="Q256" s="358"/>
      <c r="R256" s="447"/>
      <c r="S256" s="469">
        <v>42370</v>
      </c>
      <c r="T256" s="422">
        <v>0.08</v>
      </c>
    </row>
    <row r="257" spans="1:21" ht="18" customHeight="1" x14ac:dyDescent="0.25">
      <c r="A257" s="297"/>
      <c r="B257" s="298">
        <v>42186</v>
      </c>
      <c r="C257" s="299">
        <v>300</v>
      </c>
      <c r="D257" s="300">
        <v>19.7</v>
      </c>
      <c r="E257" s="301"/>
      <c r="F257" s="300">
        <f>C257*D257</f>
        <v>5910</v>
      </c>
      <c r="G257" s="301"/>
      <c r="H257" s="299"/>
      <c r="I257" s="300"/>
      <c r="J257" s="300"/>
      <c r="K257" s="300"/>
      <c r="L257" s="301"/>
      <c r="M257" s="300"/>
      <c r="N257" s="300"/>
      <c r="O257" s="302"/>
      <c r="Q257" s="358"/>
      <c r="R257" s="447"/>
      <c r="S257" s="469">
        <v>42401</v>
      </c>
      <c r="T257" s="422">
        <v>0.57999999999999996</v>
      </c>
    </row>
    <row r="258" spans="1:21" ht="18" customHeight="1" x14ac:dyDescent="0.25">
      <c r="A258" s="297"/>
      <c r="B258" s="298">
        <v>42186</v>
      </c>
      <c r="C258" s="299">
        <v>297</v>
      </c>
      <c r="D258" s="300">
        <v>19.13</v>
      </c>
      <c r="E258" s="300"/>
      <c r="F258" s="300">
        <f>C258*D258</f>
        <v>5681.61</v>
      </c>
      <c r="G258" s="301"/>
      <c r="H258" s="299"/>
      <c r="I258" s="300"/>
      <c r="J258" s="300"/>
      <c r="K258" s="300"/>
      <c r="L258" s="301"/>
      <c r="M258" s="300"/>
      <c r="N258" s="300"/>
      <c r="O258" s="302"/>
      <c r="Q258" s="358"/>
      <c r="R258" s="447"/>
      <c r="S258" s="469">
        <v>42430</v>
      </c>
      <c r="T258" s="422">
        <v>0.68</v>
      </c>
    </row>
    <row r="259" spans="1:21" ht="18" customHeight="1" x14ac:dyDescent="0.25">
      <c r="A259" s="297"/>
      <c r="B259" s="303"/>
      <c r="C259" s="304">
        <f>SUM(C254:C258)</f>
        <v>897</v>
      </c>
      <c r="D259" s="305"/>
      <c r="E259" s="305"/>
      <c r="F259" s="305">
        <f>SUM(F254:F258)</f>
        <v>17693.61</v>
      </c>
      <c r="G259" s="306"/>
      <c r="H259" s="304">
        <f>SUM(H254:H258)</f>
        <v>897</v>
      </c>
      <c r="I259" s="305"/>
      <c r="J259" s="305"/>
      <c r="K259" s="305">
        <f>SUM(K254:K258)</f>
        <v>17770.47</v>
      </c>
      <c r="L259" s="306"/>
      <c r="M259" s="305"/>
      <c r="N259" s="305">
        <f>K259-F259</f>
        <v>76.860000000000582</v>
      </c>
      <c r="O259" s="307">
        <f>(N259+M259)/F259</f>
        <v>4.3439411177255841E-3</v>
      </c>
      <c r="Q259" s="358"/>
      <c r="R259" s="447"/>
      <c r="S259" s="469">
        <v>42461</v>
      </c>
      <c r="T259" s="422">
        <v>0.37</v>
      </c>
    </row>
    <row r="260" spans="1:21" ht="18" customHeight="1" x14ac:dyDescent="0.25">
      <c r="B260" s="312"/>
      <c r="C260" s="313"/>
      <c r="D260" s="314"/>
      <c r="E260" s="25"/>
      <c r="F260" s="314"/>
      <c r="G260" s="312"/>
      <c r="H260" s="313"/>
      <c r="I260" s="314"/>
      <c r="K260" s="314"/>
      <c r="L260" s="312"/>
      <c r="M260" s="314"/>
      <c r="N260" s="314"/>
      <c r="O260" s="315"/>
      <c r="Q260" s="358"/>
      <c r="R260" s="447"/>
      <c r="S260" s="469">
        <v>42491</v>
      </c>
      <c r="T260" s="422">
        <v>0.13</v>
      </c>
    </row>
    <row r="261" spans="1:21" ht="18" customHeight="1" x14ac:dyDescent="0.25">
      <c r="A261" s="297" t="s">
        <v>31</v>
      </c>
      <c r="B261" s="298">
        <v>42165</v>
      </c>
      <c r="C261" s="299">
        <v>1</v>
      </c>
      <c r="D261" s="300">
        <v>73.03</v>
      </c>
      <c r="E261" s="301"/>
      <c r="F261" s="300">
        <f>C261*D261</f>
        <v>73.03</v>
      </c>
      <c r="G261" s="298">
        <v>42195</v>
      </c>
      <c r="H261" s="299">
        <v>1</v>
      </c>
      <c r="I261" s="300">
        <v>73.5</v>
      </c>
      <c r="J261" s="299">
        <v>0.01</v>
      </c>
      <c r="K261" s="300">
        <f>H261*I261-J261</f>
        <v>73.489999999999995</v>
      </c>
      <c r="L261" s="301"/>
      <c r="M261" s="300"/>
      <c r="N261" s="300"/>
      <c r="O261" s="302"/>
      <c r="Q261" s="358"/>
      <c r="R261" s="447"/>
      <c r="S261" s="469">
        <v>42552</v>
      </c>
      <c r="T261" s="422">
        <v>0.64</v>
      </c>
    </row>
    <row r="262" spans="1:21" ht="18" customHeight="1" x14ac:dyDescent="0.25">
      <c r="A262" s="297"/>
      <c r="B262" s="303"/>
      <c r="C262" s="304">
        <f>SUM(C261)</f>
        <v>1</v>
      </c>
      <c r="D262" s="305"/>
      <c r="E262" s="306"/>
      <c r="F262" s="305">
        <f>SUM(F261)</f>
        <v>73.03</v>
      </c>
      <c r="G262" s="306"/>
      <c r="H262" s="304">
        <f>SUM(H261)</f>
        <v>1</v>
      </c>
      <c r="I262" s="305"/>
      <c r="J262" s="304"/>
      <c r="K262" s="305">
        <f>SUM(K261)</f>
        <v>73.489999999999995</v>
      </c>
      <c r="L262" s="306"/>
      <c r="M262" s="305"/>
      <c r="N262" s="305">
        <f>K262-F262</f>
        <v>0.45999999999999375</v>
      </c>
      <c r="O262" s="307">
        <f>(N262+M262)/F262</f>
        <v>6.2987813227439919E-3</v>
      </c>
      <c r="Q262" s="358"/>
      <c r="R262" s="447"/>
      <c r="S262" s="469">
        <v>42580</v>
      </c>
      <c r="T262" s="422">
        <v>-0.66</v>
      </c>
      <c r="U262" s="25" t="s">
        <v>259</v>
      </c>
    </row>
    <row r="263" spans="1:21" ht="18" customHeight="1" x14ac:dyDescent="0.25">
      <c r="A263" s="143"/>
      <c r="B263" s="144"/>
      <c r="C263" s="145"/>
      <c r="D263" s="146"/>
      <c r="E263" s="25"/>
      <c r="F263" s="146"/>
      <c r="G263" s="147"/>
      <c r="H263" s="145"/>
      <c r="I263" s="146"/>
      <c r="K263" s="146"/>
      <c r="L263" s="147"/>
      <c r="M263" s="146"/>
      <c r="N263" s="146"/>
      <c r="O263" s="148"/>
      <c r="Q263" s="358"/>
      <c r="R263" s="447"/>
      <c r="S263" s="469">
        <v>42582</v>
      </c>
      <c r="T263" s="422">
        <v>0.26</v>
      </c>
    </row>
    <row r="264" spans="1:21" ht="18" customHeight="1" x14ac:dyDescent="0.25">
      <c r="M264" s="26" t="s">
        <v>38</v>
      </c>
      <c r="N264" s="141">
        <f>0.5*(SUM(M2:M263))</f>
        <v>824.45</v>
      </c>
      <c r="Q264" s="358"/>
      <c r="R264" s="447"/>
      <c r="S264" s="469">
        <v>42608</v>
      </c>
      <c r="T264" s="422">
        <v>0.44</v>
      </c>
    </row>
    <row r="265" spans="1:21" ht="18" customHeight="1" x14ac:dyDescent="0.25">
      <c r="M265" s="29" t="s">
        <v>130</v>
      </c>
      <c r="N265" s="142">
        <f>SUM(N1:N263)</f>
        <v>-3136.6299999999319</v>
      </c>
      <c r="Q265" s="358"/>
      <c r="R265" s="447"/>
      <c r="S265" s="469">
        <v>42614</v>
      </c>
      <c r="T265" s="422">
        <v>0.23</v>
      </c>
    </row>
    <row r="266" spans="1:21" ht="18" customHeight="1" x14ac:dyDescent="0.25">
      <c r="M266" s="26" t="s">
        <v>152</v>
      </c>
      <c r="N266" s="529">
        <f>T288</f>
        <v>1021.9300000000001</v>
      </c>
      <c r="Q266" s="358"/>
      <c r="R266" s="447"/>
      <c r="S266" s="469">
        <v>42639</v>
      </c>
      <c r="T266" s="422">
        <v>0.56999999999999995</v>
      </c>
    </row>
    <row r="267" spans="1:21" ht="18" customHeight="1" x14ac:dyDescent="0.25">
      <c r="M267" s="26" t="s">
        <v>129</v>
      </c>
      <c r="N267" s="142">
        <f>SUM(ACTIVE!L:L)</f>
        <v>-16269.58199999866</v>
      </c>
      <c r="Q267" s="358"/>
      <c r="R267" s="447"/>
      <c r="S267" s="469">
        <v>42644</v>
      </c>
      <c r="T267" s="422">
        <v>0.14000000000000001</v>
      </c>
    </row>
    <row r="268" spans="1:21" ht="18" customHeight="1" x14ac:dyDescent="0.25">
      <c r="Q268" s="358"/>
      <c r="R268" s="447"/>
      <c r="S268" s="469">
        <v>42674</v>
      </c>
      <c r="T268" s="422">
        <v>0.45</v>
      </c>
    </row>
    <row r="269" spans="1:21" ht="18" customHeight="1" x14ac:dyDescent="0.25">
      <c r="M269" s="26" t="s">
        <v>143</v>
      </c>
      <c r="N269" s="142">
        <f>SUM(N264:N267)</f>
        <v>-17559.831999998591</v>
      </c>
      <c r="Q269" s="358"/>
      <c r="R269" s="447"/>
      <c r="S269" s="469">
        <v>42704</v>
      </c>
      <c r="T269" s="422">
        <v>0.43</v>
      </c>
    </row>
    <row r="270" spans="1:21" ht="18" customHeight="1" x14ac:dyDescent="0.25">
      <c r="M270" s="26" t="s">
        <v>144</v>
      </c>
      <c r="N270" s="142">
        <f>Balance!X2</f>
        <v>-17561.359999999986</v>
      </c>
      <c r="Q270" s="358"/>
      <c r="R270" s="447"/>
      <c r="S270" s="469">
        <v>43099</v>
      </c>
      <c r="T270" s="422">
        <v>0.64</v>
      </c>
    </row>
    <row r="271" spans="1:21" ht="18" customHeight="1" x14ac:dyDescent="0.25">
      <c r="M271" s="26" t="s">
        <v>192</v>
      </c>
      <c r="N271" s="530">
        <v>1.53</v>
      </c>
      <c r="O271" s="347"/>
      <c r="Q271" s="358"/>
      <c r="R271" s="447"/>
      <c r="S271" s="469">
        <v>42760</v>
      </c>
      <c r="T271" s="422">
        <v>0.56999999999999995</v>
      </c>
    </row>
    <row r="272" spans="1:21" ht="18" customHeight="1" x14ac:dyDescent="0.25">
      <c r="Q272" s="358"/>
      <c r="R272" s="447"/>
      <c r="S272" s="469">
        <v>42767</v>
      </c>
      <c r="T272" s="422">
        <v>0.12</v>
      </c>
    </row>
    <row r="273" spans="13:20" ht="18" customHeight="1" x14ac:dyDescent="0.25">
      <c r="M273" s="26" t="s">
        <v>131</v>
      </c>
      <c r="N273" s="531">
        <f>N269-N271-N270</f>
        <v>-1.9999986034235917E-3</v>
      </c>
      <c r="Q273" s="358"/>
      <c r="R273" s="447"/>
      <c r="S273" s="469">
        <v>42794</v>
      </c>
      <c r="T273" s="422">
        <v>0.28000000000000003</v>
      </c>
    </row>
    <row r="274" spans="13:20" ht="18" customHeight="1" x14ac:dyDescent="0.25">
      <c r="Q274" s="358"/>
      <c r="R274" s="447"/>
      <c r="S274" s="469">
        <v>42824</v>
      </c>
      <c r="T274" s="422">
        <v>0.81</v>
      </c>
    </row>
    <row r="275" spans="13:20" ht="18" customHeight="1" x14ac:dyDescent="0.25">
      <c r="Q275" s="358"/>
      <c r="R275" s="447"/>
      <c r="S275" s="469">
        <v>42851</v>
      </c>
      <c r="T275" s="422">
        <v>0.93</v>
      </c>
    </row>
    <row r="276" spans="13:20" ht="18" customHeight="1" x14ac:dyDescent="0.25">
      <c r="Q276" s="358"/>
      <c r="R276" s="447"/>
      <c r="S276" s="469">
        <v>42853</v>
      </c>
      <c r="T276" s="422">
        <v>7.0000000000000007E-2</v>
      </c>
    </row>
    <row r="277" spans="13:20" ht="18" customHeight="1" x14ac:dyDescent="0.25">
      <c r="Q277" s="358"/>
      <c r="R277" s="447"/>
      <c r="S277" s="469">
        <v>42877</v>
      </c>
      <c r="T277" s="422">
        <v>0.56000000000000005</v>
      </c>
    </row>
    <row r="278" spans="13:20" ht="18" customHeight="1" x14ac:dyDescent="0.25">
      <c r="Q278" s="358"/>
      <c r="R278" s="447"/>
      <c r="S278" s="469">
        <v>42887</v>
      </c>
      <c r="T278" s="422">
        <v>0.24</v>
      </c>
    </row>
    <row r="279" spans="13:20" ht="18" customHeight="1" x14ac:dyDescent="0.25">
      <c r="Q279" s="358"/>
      <c r="R279" s="447"/>
      <c r="S279" s="469">
        <v>42908</v>
      </c>
      <c r="T279" s="422">
        <v>0.42</v>
      </c>
    </row>
    <row r="280" spans="13:20" ht="18" customHeight="1" x14ac:dyDescent="0.25">
      <c r="Q280" s="358"/>
      <c r="R280" s="447"/>
      <c r="S280" s="469">
        <v>42916</v>
      </c>
      <c r="T280" s="422">
        <v>1.02</v>
      </c>
    </row>
    <row r="281" spans="13:20" ht="18" customHeight="1" x14ac:dyDescent="0.25">
      <c r="Q281" s="358"/>
      <c r="R281" s="447"/>
      <c r="S281" s="469">
        <v>42947</v>
      </c>
      <c r="T281" s="422">
        <v>7.97</v>
      </c>
    </row>
    <row r="282" spans="13:20" ht="18" customHeight="1" x14ac:dyDescent="0.25">
      <c r="Q282" s="358"/>
      <c r="R282" s="447"/>
      <c r="S282" s="469"/>
      <c r="T282" s="422"/>
    </row>
    <row r="283" spans="13:20" ht="18" customHeight="1" x14ac:dyDescent="0.25">
      <c r="Q283" s="358"/>
      <c r="R283" s="447"/>
      <c r="S283" s="469"/>
      <c r="T283" s="422"/>
    </row>
    <row r="284" spans="13:20" ht="18" customHeight="1" x14ac:dyDescent="0.25">
      <c r="Q284" s="358"/>
      <c r="R284" s="447"/>
      <c r="S284" s="469"/>
      <c r="T284" s="422"/>
    </row>
    <row r="285" spans="13:20" ht="18" customHeight="1" x14ac:dyDescent="0.25">
      <c r="Q285" s="358"/>
      <c r="R285" s="447"/>
      <c r="S285" s="469"/>
      <c r="T285" s="422"/>
    </row>
    <row r="286" spans="13:20" ht="18" customHeight="1" x14ac:dyDescent="0.25">
      <c r="Q286" s="358"/>
      <c r="R286" s="447"/>
      <c r="S286" s="469"/>
      <c r="T286" s="422"/>
    </row>
    <row r="287" spans="13:20" ht="18" customHeight="1" x14ac:dyDescent="0.25">
      <c r="Q287" s="358"/>
      <c r="R287" s="447"/>
      <c r="S287" s="469"/>
      <c r="T287" s="422"/>
    </row>
    <row r="288" spans="13:20" ht="18" customHeight="1" x14ac:dyDescent="0.25">
      <c r="Q288" s="358" t="s">
        <v>81</v>
      </c>
      <c r="R288" s="447">
        <f>SUM(R252:R271)</f>
        <v>0.03</v>
      </c>
      <c r="S288" s="423" t="s">
        <v>81</v>
      </c>
      <c r="T288" s="422">
        <f>SUM(T252:T287)</f>
        <v>1021.9300000000001</v>
      </c>
    </row>
    <row r="296" spans="1:1" ht="18" customHeight="1" x14ac:dyDescent="0.25">
      <c r="A296" s="505"/>
    </row>
    <row r="297" spans="1:1" ht="18" customHeight="1" x14ac:dyDescent="0.25">
      <c r="A297" s="506"/>
    </row>
    <row r="298" spans="1:1" ht="18" customHeight="1" x14ac:dyDescent="0.25">
      <c r="A298" s="506"/>
    </row>
    <row r="299" spans="1:1" ht="18" customHeight="1" x14ac:dyDescent="0.25">
      <c r="A299" s="505"/>
    </row>
    <row r="300" spans="1:1" ht="18" customHeight="1" x14ac:dyDescent="0.25">
      <c r="A300" s="506"/>
    </row>
    <row r="301" spans="1:1" ht="18" customHeight="1" x14ac:dyDescent="0.25">
      <c r="A301" s="506"/>
    </row>
    <row r="302" spans="1:1" ht="18" customHeight="1" x14ac:dyDescent="0.25">
      <c r="A302" s="505"/>
    </row>
    <row r="303" spans="1:1" ht="18" customHeight="1" x14ac:dyDescent="0.25">
      <c r="A303" s="506"/>
    </row>
    <row r="304" spans="1:1" ht="18" customHeight="1" x14ac:dyDescent="0.25">
      <c r="A304" s="506"/>
    </row>
    <row r="305" spans="1:1" ht="18" customHeight="1" x14ac:dyDescent="0.25">
      <c r="A305" s="506"/>
    </row>
  </sheetData>
  <mergeCells count="3">
    <mergeCell ref="B12:B13"/>
    <mergeCell ref="B14:B15"/>
    <mergeCell ref="B185:B186"/>
  </mergeCells>
  <conditionalFormatting sqref="Q13">
    <cfRule type="expression" dxfId="1457" priority="7">
      <formula>#REF!&gt;0</formula>
    </cfRule>
    <cfRule type="expression" dxfId="145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63"/>
  <sheetViews>
    <sheetView topLeftCell="D1" zoomScaleNormal="100" workbookViewId="0">
      <pane ySplit="1" topLeftCell="A453" activePane="bottomLeft" state="frozen"/>
      <selection pane="bottomLeft" activeCell="J450" sqref="J450"/>
    </sheetView>
  </sheetViews>
  <sheetFormatPr defaultColWidth="9.140625" defaultRowHeight="20.100000000000001" customHeight="1" x14ac:dyDescent="0.25"/>
  <cols>
    <col min="1" max="1" width="14.42578125" style="167" customWidth="1"/>
    <col min="2" max="2" width="11.28515625" style="178" bestFit="1" customWidth="1"/>
    <col min="3" max="3" width="9.5703125" style="167" bestFit="1" customWidth="1"/>
    <col min="4" max="4" width="12.5703125" style="179" bestFit="1" customWidth="1"/>
    <col min="5" max="5" width="13.7109375" style="179" bestFit="1" customWidth="1"/>
    <col min="6" max="6" width="12.5703125" style="179" bestFit="1" customWidth="1"/>
    <col min="7" max="7" width="12.85546875" style="179" bestFit="1" customWidth="1"/>
    <col min="8" max="8" width="13.5703125" style="179" bestFit="1" customWidth="1"/>
    <col min="9" max="9" width="14.28515625" style="225" bestFit="1" customWidth="1"/>
    <col min="10" max="10" width="12.85546875" style="167" bestFit="1" customWidth="1"/>
    <col min="11" max="11" width="10.28515625" style="167" bestFit="1" customWidth="1"/>
    <col min="12" max="12" width="12.140625" style="167" bestFit="1" customWidth="1"/>
    <col min="13" max="13" width="11.42578125" style="215" bestFit="1" customWidth="1"/>
    <col min="14" max="14" width="8.7109375" style="187" bestFit="1" customWidth="1"/>
    <col min="15" max="15" width="10.7109375" style="214" bestFit="1" customWidth="1"/>
    <col min="16" max="16" width="11.5703125" style="338" bestFit="1" customWidth="1"/>
    <col min="17" max="17" width="13.85546875" style="338" bestFit="1" customWidth="1"/>
    <col min="18" max="18" width="10.7109375" style="338" bestFit="1" customWidth="1"/>
    <col min="19" max="19" width="12.5703125" style="338" bestFit="1" customWidth="1"/>
    <col min="20" max="20" width="12" style="338" customWidth="1"/>
    <col min="21" max="21" width="9" style="187" bestFit="1" customWidth="1"/>
    <col min="22" max="22" width="8" style="187" bestFit="1" customWidth="1"/>
    <col min="23" max="23" width="8.28515625" style="215" bestFit="1" customWidth="1"/>
    <col min="24" max="24" width="11.42578125" style="167" bestFit="1" customWidth="1"/>
    <col min="25" max="25" width="9.140625" style="167"/>
    <col min="26" max="26" width="11.42578125" style="167" bestFit="1" customWidth="1"/>
    <col min="27" max="16384" width="9.140625" style="167"/>
  </cols>
  <sheetData>
    <row r="1" spans="1:42" ht="20.100000000000001" customHeight="1" x14ac:dyDescent="0.25">
      <c r="A1" s="342"/>
      <c r="B1" s="343" t="s">
        <v>86</v>
      </c>
      <c r="C1" s="342" t="s">
        <v>135</v>
      </c>
      <c r="D1" s="344" t="s">
        <v>137</v>
      </c>
      <c r="E1" s="344" t="s">
        <v>140</v>
      </c>
      <c r="F1" s="344" t="s">
        <v>153</v>
      </c>
      <c r="G1" s="344" t="s">
        <v>289</v>
      </c>
      <c r="H1" s="344" t="s">
        <v>288</v>
      </c>
      <c r="I1" s="342" t="s">
        <v>85</v>
      </c>
      <c r="J1" s="342" t="s">
        <v>87</v>
      </c>
      <c r="K1" s="342" t="s">
        <v>134</v>
      </c>
      <c r="L1" s="342" t="s">
        <v>136</v>
      </c>
      <c r="M1" s="345" t="s">
        <v>96</v>
      </c>
      <c r="N1" s="345" t="s">
        <v>76</v>
      </c>
      <c r="O1" s="342" t="s">
        <v>149</v>
      </c>
      <c r="P1" s="346" t="s">
        <v>188</v>
      </c>
      <c r="Q1" s="346" t="s">
        <v>189</v>
      </c>
      <c r="R1" s="346" t="s">
        <v>190</v>
      </c>
      <c r="S1" s="346" t="s">
        <v>217</v>
      </c>
      <c r="T1" s="346" t="s">
        <v>218</v>
      </c>
      <c r="U1" s="345" t="s">
        <v>222</v>
      </c>
      <c r="V1" s="345" t="s">
        <v>223</v>
      </c>
      <c r="W1" s="345" t="s">
        <v>290</v>
      </c>
      <c r="X1" s="216" t="s">
        <v>150</v>
      </c>
      <c r="Y1" s="165"/>
      <c r="Z1" s="166"/>
      <c r="AA1" s="165"/>
      <c r="AB1" s="166"/>
      <c r="AC1" s="166"/>
      <c r="AD1" s="164"/>
      <c r="AE1" s="164"/>
      <c r="AF1" s="164"/>
      <c r="AG1" s="164"/>
    </row>
    <row r="2" spans="1:42" ht="20.100000000000001" customHeight="1" x14ac:dyDescent="0.25">
      <c r="A2" s="164"/>
      <c r="B2" s="168">
        <v>42233</v>
      </c>
      <c r="C2" s="200">
        <v>2102.44</v>
      </c>
      <c r="D2" s="201"/>
      <c r="E2" s="201"/>
      <c r="F2" s="218">
        <v>5091.7</v>
      </c>
      <c r="G2" s="201"/>
      <c r="H2" s="201"/>
      <c r="I2" s="222">
        <v>322588.21000000002</v>
      </c>
      <c r="J2" s="170">
        <v>360000</v>
      </c>
      <c r="K2" s="171"/>
      <c r="L2" s="171"/>
      <c r="M2" s="169">
        <f t="shared" ref="M2:M29" si="0">I2-J2</f>
        <v>-37411.789999999979</v>
      </c>
      <c r="N2" s="185">
        <f t="shared" ref="N2:N29" si="1">M2/J2</f>
        <v>-0.10392163888888883</v>
      </c>
      <c r="O2" s="169" t="b">
        <f>L2&gt;D2</f>
        <v>0</v>
      </c>
      <c r="P2" s="185">
        <f>COUNTIF(O$2:O2, TRUE)/(COUNTIF(O$2:O2,FALSE) + COUNTIF(O$2:O2, TRUE))</f>
        <v>0</v>
      </c>
      <c r="Q2" s="339"/>
      <c r="R2" s="339"/>
      <c r="S2" s="339"/>
      <c r="T2" s="339"/>
      <c r="U2" s="185"/>
      <c r="V2" s="185"/>
      <c r="W2" s="169" t="e">
        <f>N2/V2</f>
        <v>#DIV/0!</v>
      </c>
      <c r="X2" s="337">
        <f>LOOKUP(2,1/(M:M&lt;&gt;""),M:M)</f>
        <v>-17561.359999999986</v>
      </c>
      <c r="Y2" s="165"/>
      <c r="Z2" s="166"/>
      <c r="AA2" s="165"/>
      <c r="AB2" s="166"/>
      <c r="AC2" s="166"/>
      <c r="AD2" s="164"/>
      <c r="AE2" s="164"/>
      <c r="AF2" s="164"/>
      <c r="AG2" s="164"/>
    </row>
    <row r="3" spans="1:42" ht="20.100000000000001" customHeight="1" x14ac:dyDescent="0.25">
      <c r="A3" s="164"/>
      <c r="B3" s="168">
        <v>42234</v>
      </c>
      <c r="C3" s="202">
        <v>2096.92</v>
      </c>
      <c r="D3" s="172">
        <f>(C3-C2)/C2</f>
        <v>-2.6255208234242031E-3</v>
      </c>
      <c r="E3" s="203">
        <f>(C3-$C$2)/$C$2</f>
        <v>-2.6255208234242031E-3</v>
      </c>
      <c r="F3" s="219">
        <v>5059.3500000000004</v>
      </c>
      <c r="G3" s="172">
        <f t="shared" ref="G3:G66" si="2">(F3-F2)/F2</f>
        <v>-6.3534772276448836E-3</v>
      </c>
      <c r="H3" s="203">
        <f>(F3-F$2)/F$2</f>
        <v>-6.3534772276448836E-3</v>
      </c>
      <c r="I3" s="222">
        <v>319994.03000000003</v>
      </c>
      <c r="J3" s="170">
        <v>360000</v>
      </c>
      <c r="K3" s="170">
        <f t="shared" ref="K3:K28" si="3">I3-I2-J3+J2</f>
        <v>-2594.179999999993</v>
      </c>
      <c r="L3" s="172">
        <f>K3/I2</f>
        <v>-8.0417694124654861E-3</v>
      </c>
      <c r="M3" s="169">
        <f t="shared" si="0"/>
        <v>-40005.969999999972</v>
      </c>
      <c r="N3" s="185">
        <f t="shared" si="1"/>
        <v>-0.11112769444444437</v>
      </c>
      <c r="O3" s="169" t="b">
        <f>L3&gt;D3</f>
        <v>0</v>
      </c>
      <c r="P3" s="185">
        <f>COUNTIF(O$2:O3, TRUE)/(COUNTIF(O$2:O3,FALSE) + COUNTIF(O$2:O3, TRUE))</f>
        <v>0</v>
      </c>
      <c r="Q3" s="339"/>
      <c r="R3" s="339"/>
      <c r="S3" s="339"/>
      <c r="T3" s="339"/>
      <c r="U3" s="185"/>
      <c r="V3" s="185"/>
      <c r="W3" s="169" t="e">
        <f t="shared" ref="W3:W66" si="4">N3/V3</f>
        <v>#DIV/0!</v>
      </c>
      <c r="Y3" s="165"/>
      <c r="Z3" s="166"/>
      <c r="AA3" s="165"/>
      <c r="AB3" s="166"/>
      <c r="AC3" s="166"/>
      <c r="AD3" s="164"/>
      <c r="AE3" s="164"/>
      <c r="AF3" s="164"/>
      <c r="AG3" s="164"/>
    </row>
    <row r="4" spans="1:42" ht="20.100000000000001" customHeight="1" x14ac:dyDescent="0.25">
      <c r="A4" s="164"/>
      <c r="B4" s="168">
        <v>42235</v>
      </c>
      <c r="C4" s="202">
        <v>2079.61</v>
      </c>
      <c r="D4" s="172">
        <f t="shared" ref="D4:D67" si="5">(C4-C3)/C3</f>
        <v>-8.254964424012334E-3</v>
      </c>
      <c r="E4" s="203">
        <f t="shared" ref="E4:E43" si="6">(C4-$C$2)/$C$2</f>
        <v>-1.0858811666444668E-2</v>
      </c>
      <c r="F4" s="219">
        <v>5019.05</v>
      </c>
      <c r="G4" s="172">
        <f t="shared" si="2"/>
        <v>-7.9654501072272486E-3</v>
      </c>
      <c r="H4" s="203">
        <f t="shared" ref="H4:H66" si="7">(F4-F$2)/F$2</f>
        <v>-1.4268319029007923E-2</v>
      </c>
      <c r="I4" s="222">
        <v>311839.78000000003</v>
      </c>
      <c r="J4" s="170">
        <v>360000</v>
      </c>
      <c r="K4" s="170">
        <f t="shared" si="3"/>
        <v>-8154.25</v>
      </c>
      <c r="L4" s="172">
        <f t="shared" ref="L4:L67" si="8">K4/I3</f>
        <v>-2.5482506658014836E-2</v>
      </c>
      <c r="M4" s="169">
        <f t="shared" si="0"/>
        <v>-48160.219999999972</v>
      </c>
      <c r="N4" s="185">
        <f t="shared" si="1"/>
        <v>-0.13377838888888882</v>
      </c>
      <c r="O4" s="169" t="b">
        <f>L4&gt;D4</f>
        <v>0</v>
      </c>
      <c r="P4" s="185">
        <f>COUNTIF(O$2:O4, TRUE)/(COUNTIF(O$2:O4,FALSE) + COUNTIF(O$2:O4, TRUE))</f>
        <v>0</v>
      </c>
      <c r="Q4" s="339"/>
      <c r="R4" s="339"/>
      <c r="S4" s="339"/>
      <c r="T4" s="339"/>
      <c r="U4" s="185">
        <f>STDEV(D$2:D4)*SQRT(252)</f>
        <v>6.3190347694703594E-2</v>
      </c>
      <c r="V4" s="185">
        <f>STDEV(L$2:L4)*SQRT(252)</f>
        <v>0.19577179003677936</v>
      </c>
      <c r="W4" s="169">
        <f t="shared" si="4"/>
        <v>-0.68333843636897873</v>
      </c>
      <c r="X4" s="164"/>
      <c r="Y4" s="165"/>
      <c r="Z4" s="166"/>
      <c r="AA4" s="165"/>
      <c r="AB4" s="166"/>
      <c r="AC4" s="166"/>
      <c r="AD4" s="164"/>
      <c r="AE4" s="164"/>
      <c r="AF4" s="164"/>
      <c r="AG4" s="164"/>
    </row>
    <row r="5" spans="1:42" ht="20.100000000000001" customHeight="1" x14ac:dyDescent="0.25">
      <c r="A5" s="164"/>
      <c r="B5" s="168">
        <v>42236</v>
      </c>
      <c r="C5" s="202">
        <v>2035.73</v>
      </c>
      <c r="D5" s="172">
        <f t="shared" si="5"/>
        <v>-2.1100110116800797E-2</v>
      </c>
      <c r="E5" s="203">
        <f t="shared" si="6"/>
        <v>-3.1729799661345884E-2</v>
      </c>
      <c r="F5" s="219">
        <v>4877.49</v>
      </c>
      <c r="G5" s="172">
        <f t="shared" si="2"/>
        <v>-2.8204540699933334E-2</v>
      </c>
      <c r="H5" s="203">
        <f t="shared" si="7"/>
        <v>-4.2070428344167965E-2</v>
      </c>
      <c r="I5" s="222">
        <v>301697.40999999997</v>
      </c>
      <c r="J5" s="170">
        <v>360000</v>
      </c>
      <c r="K5" s="170">
        <f t="shared" si="3"/>
        <v>-10142.370000000054</v>
      </c>
      <c r="L5" s="172">
        <f t="shared" si="8"/>
        <v>-3.2524298214936055E-2</v>
      </c>
      <c r="M5" s="169">
        <f t="shared" si="0"/>
        <v>-58302.590000000026</v>
      </c>
      <c r="N5" s="185">
        <f t="shared" si="1"/>
        <v>-0.16195163888888897</v>
      </c>
      <c r="O5" s="169" t="b">
        <f>L5&gt;D5</f>
        <v>0</v>
      </c>
      <c r="P5" s="185">
        <f>COUNTIF(O$2:O5, TRUE)/(COUNTIF(O$2:O5,FALSE) + COUNTIF(O$2:O5, TRUE))</f>
        <v>0</v>
      </c>
      <c r="Q5" s="339"/>
      <c r="R5" s="339"/>
      <c r="S5" s="339"/>
      <c r="T5" s="339"/>
      <c r="U5" s="185">
        <f>STDEV(D$2:D5)*SQRT(252)</f>
        <v>0.15031949910961184</v>
      </c>
      <c r="V5" s="185">
        <f>STDEV(L$2:L5)*SQRT(252)</f>
        <v>0.20008182112239786</v>
      </c>
      <c r="W5" s="169">
        <f t="shared" si="4"/>
        <v>-0.80942705329444609</v>
      </c>
      <c r="X5" s="164"/>
      <c r="Y5" s="165"/>
      <c r="Z5" s="166"/>
      <c r="AA5" s="165"/>
      <c r="AB5" s="166"/>
      <c r="AC5" s="166"/>
      <c r="AD5" s="164"/>
      <c r="AE5" s="164"/>
      <c r="AF5" s="164"/>
      <c r="AG5" s="164"/>
    </row>
    <row r="6" spans="1:42" ht="20.100000000000001" customHeight="1" x14ac:dyDescent="0.25">
      <c r="A6" s="164"/>
      <c r="B6" s="168">
        <v>42237</v>
      </c>
      <c r="C6" s="202">
        <v>1970.89</v>
      </c>
      <c r="D6" s="172">
        <f t="shared" si="5"/>
        <v>-3.1850982202944356E-2</v>
      </c>
      <c r="E6" s="203">
        <f t="shared" si="6"/>
        <v>-6.2570156579973724E-2</v>
      </c>
      <c r="F6" s="219">
        <v>4706.04</v>
      </c>
      <c r="G6" s="172">
        <f t="shared" si="2"/>
        <v>-3.5151276578732057E-2</v>
      </c>
      <c r="H6" s="203">
        <f t="shared" si="7"/>
        <v>-7.5742875660388453E-2</v>
      </c>
      <c r="I6" s="222">
        <v>295093.56</v>
      </c>
      <c r="J6" s="170">
        <v>360000</v>
      </c>
      <c r="K6" s="170">
        <f t="shared" si="3"/>
        <v>-6603.8499999999767</v>
      </c>
      <c r="L6" s="172">
        <f t="shared" si="8"/>
        <v>-2.1888984728108792E-2</v>
      </c>
      <c r="M6" s="169">
        <f t="shared" si="0"/>
        <v>-64906.44</v>
      </c>
      <c r="N6" s="185">
        <f t="shared" si="1"/>
        <v>-0.18029566666666666</v>
      </c>
      <c r="O6" s="169" t="b">
        <f>L6&gt;D6</f>
        <v>1</v>
      </c>
      <c r="P6" s="185">
        <f>COUNTIF(O$2:O6, TRUE)/(COUNTIF(O$2:O6,FALSE) + COUNTIF(O$2:O6, TRUE))</f>
        <v>0.2</v>
      </c>
      <c r="Q6" s="339"/>
      <c r="R6" s="339"/>
      <c r="S6" s="339"/>
      <c r="T6" s="339"/>
      <c r="U6" s="185">
        <f>STDEV(D$2:D6)*SQRT(252)</f>
        <v>0.20821641331654633</v>
      </c>
      <c r="V6" s="185">
        <f>STDEV(L$2:L6)*SQRT(252)</f>
        <v>0.16336924292253127</v>
      </c>
      <c r="W6" s="169">
        <f t="shared" si="4"/>
        <v>-1.1036083869970665</v>
      </c>
      <c r="X6" s="164"/>
      <c r="Y6" s="165"/>
      <c r="Z6" s="166"/>
      <c r="AA6" s="165"/>
      <c r="AB6" s="166"/>
      <c r="AC6" s="166"/>
      <c r="AD6" s="164"/>
      <c r="AE6" s="164"/>
      <c r="AF6" s="164"/>
      <c r="AG6" s="164"/>
    </row>
    <row r="7" spans="1:42" ht="20.100000000000001" customHeight="1" x14ac:dyDescent="0.25">
      <c r="A7" s="164"/>
      <c r="B7" s="173">
        <v>42240</v>
      </c>
      <c r="C7" s="204">
        <v>1893.21</v>
      </c>
      <c r="D7" s="172">
        <f t="shared" si="5"/>
        <v>-3.9413665907280494E-2</v>
      </c>
      <c r="E7" s="205">
        <f t="shared" si="6"/>
        <v>-9.95177032400449E-2</v>
      </c>
      <c r="F7" s="220">
        <v>4526.25</v>
      </c>
      <c r="G7" s="172">
        <f t="shared" si="2"/>
        <v>-3.8204095162812035E-2</v>
      </c>
      <c r="H7" s="205">
        <f t="shared" si="7"/>
        <v>-0.11105328279356597</v>
      </c>
      <c r="I7" s="223">
        <v>283095.28999999998</v>
      </c>
      <c r="J7" s="174">
        <v>360000</v>
      </c>
      <c r="K7" s="174">
        <f t="shared" si="3"/>
        <v>-11998.270000000019</v>
      </c>
      <c r="L7" s="172">
        <f t="shared" si="8"/>
        <v>-4.0659206524195309E-2</v>
      </c>
      <c r="M7" s="175">
        <f t="shared" si="0"/>
        <v>-76904.710000000021</v>
      </c>
      <c r="N7" s="186">
        <f t="shared" si="1"/>
        <v>-0.2136241944444445</v>
      </c>
      <c r="O7" s="175" t="b">
        <f t="shared" ref="O7:O58" si="9">L7&gt;D7</f>
        <v>0</v>
      </c>
      <c r="P7" s="186">
        <f>COUNTIF(O$2:O7, TRUE)/(COUNTIF(O$2:O7,FALSE) + COUNTIF(O$2:O7, TRUE))</f>
        <v>0.16666666666666666</v>
      </c>
      <c r="Q7" s="340"/>
      <c r="R7" s="340"/>
      <c r="S7" s="340"/>
      <c r="T7" s="340"/>
      <c r="U7" s="186">
        <f>STDEV(D$2:D7)*SQRT(252)</f>
        <v>0.24544711494961968</v>
      </c>
      <c r="V7" s="186">
        <f>STDEV(L$2:L7)*SQRT(252)</f>
        <v>0.19389190476539761</v>
      </c>
      <c r="W7" s="175">
        <f t="shared" si="4"/>
        <v>-1.1017695385628516</v>
      </c>
      <c r="X7" s="164"/>
      <c r="Y7" s="165"/>
      <c r="Z7" s="166"/>
      <c r="AA7" s="165"/>
      <c r="AB7" s="166"/>
      <c r="AC7" s="166"/>
      <c r="AD7" s="164"/>
      <c r="AE7" s="164"/>
      <c r="AF7" s="164"/>
      <c r="AG7" s="164"/>
    </row>
    <row r="8" spans="1:42" ht="20.100000000000001" customHeight="1" x14ac:dyDescent="0.25">
      <c r="A8" s="164"/>
      <c r="B8" s="173">
        <v>42241</v>
      </c>
      <c r="C8" s="204">
        <v>1867.61</v>
      </c>
      <c r="D8" s="172">
        <f t="shared" si="5"/>
        <v>-1.3522007595565277E-2</v>
      </c>
      <c r="E8" s="205">
        <f t="shared" si="6"/>
        <v>-0.11169403169650509</v>
      </c>
      <c r="F8" s="220">
        <v>4506.49</v>
      </c>
      <c r="G8" s="172">
        <f t="shared" si="2"/>
        <v>-4.3656448494891397E-3</v>
      </c>
      <c r="H8" s="205">
        <f t="shared" si="7"/>
        <v>-0.11493410845100852</v>
      </c>
      <c r="I8" s="223">
        <v>276943.21000000002</v>
      </c>
      <c r="J8" s="174">
        <v>360000</v>
      </c>
      <c r="K8" s="174">
        <f t="shared" si="3"/>
        <v>-6152.0799999999581</v>
      </c>
      <c r="L8" s="172">
        <f t="shared" si="8"/>
        <v>-2.1731481297339698E-2</v>
      </c>
      <c r="M8" s="175">
        <f t="shared" si="0"/>
        <v>-83056.789999999979</v>
      </c>
      <c r="N8" s="186">
        <f t="shared" si="1"/>
        <v>-0.2307133055555555</v>
      </c>
      <c r="O8" s="175" t="b">
        <f t="shared" si="9"/>
        <v>0</v>
      </c>
      <c r="P8" s="186">
        <f>COUNTIF(O$2:O8, TRUE)/(COUNTIF(O$2:O8,FALSE) + COUNTIF(O$2:O8, TRUE))</f>
        <v>0.14285714285714285</v>
      </c>
      <c r="Q8" s="340"/>
      <c r="R8" s="340"/>
      <c r="S8" s="340"/>
      <c r="T8" s="340"/>
      <c r="U8" s="186">
        <f>STDEV(D$2:D8)*SQRT(252)</f>
        <v>0.22434082778798065</v>
      </c>
      <c r="V8" s="186">
        <f>STDEV(L$2:L8)*SQRT(252)</f>
        <v>0.17533735395795544</v>
      </c>
      <c r="W8" s="175">
        <f t="shared" si="4"/>
        <v>-1.3158251812724333</v>
      </c>
      <c r="X8" s="164"/>
      <c r="Y8" s="165"/>
      <c r="Z8" s="166"/>
      <c r="AA8" s="165"/>
      <c r="AB8" s="166"/>
      <c r="AC8" s="166"/>
      <c r="AD8" s="164"/>
      <c r="AE8" s="164"/>
      <c r="AF8" s="164"/>
      <c r="AG8" s="164"/>
      <c r="AP8" s="570"/>
    </row>
    <row r="9" spans="1:42" ht="20.100000000000001" customHeight="1" x14ac:dyDescent="0.25">
      <c r="A9" s="164"/>
      <c r="B9" s="173">
        <v>42242</v>
      </c>
      <c r="C9" s="204">
        <v>1940.51</v>
      </c>
      <c r="D9" s="172">
        <f t="shared" si="5"/>
        <v>3.9033845395987435E-2</v>
      </c>
      <c r="E9" s="205">
        <f t="shared" si="6"/>
        <v>-7.7020033865413548E-2</v>
      </c>
      <c r="F9" s="220">
        <v>4697.54</v>
      </c>
      <c r="G9" s="172">
        <f t="shared" si="2"/>
        <v>4.239441339046579E-2</v>
      </c>
      <c r="H9" s="205">
        <f t="shared" si="7"/>
        <v>-7.741225916687941E-2</v>
      </c>
      <c r="I9" s="223">
        <v>284832.2</v>
      </c>
      <c r="J9" s="174">
        <v>360000</v>
      </c>
      <c r="K9" s="174">
        <f t="shared" si="3"/>
        <v>7888.9899999999907</v>
      </c>
      <c r="L9" s="172">
        <f t="shared" si="8"/>
        <v>2.8485948436865412E-2</v>
      </c>
      <c r="M9" s="175">
        <f t="shared" si="0"/>
        <v>-75167.799999999988</v>
      </c>
      <c r="N9" s="186">
        <f t="shared" si="1"/>
        <v>-0.2087994444444444</v>
      </c>
      <c r="O9" s="175" t="b">
        <f t="shared" si="9"/>
        <v>0</v>
      </c>
      <c r="P9" s="186">
        <f>COUNTIF(O$2:O9, TRUE)/(COUNTIF(O$2:O9,FALSE) + COUNTIF(O$2:O9, TRUE))</f>
        <v>0.125</v>
      </c>
      <c r="Q9" s="340"/>
      <c r="R9" s="340"/>
      <c r="S9" s="340"/>
      <c r="T9" s="340"/>
      <c r="U9" s="186">
        <f>STDEV(D$2:D9)*SQRT(252)</f>
        <v>0.40635063731985605</v>
      </c>
      <c r="V9" s="186">
        <f>STDEV(L$2:L9)*SQRT(252)</f>
        <v>0.35891083910893234</v>
      </c>
      <c r="W9" s="175">
        <f t="shared" si="4"/>
        <v>-0.58175853636192942</v>
      </c>
      <c r="X9" s="164"/>
      <c r="Y9" s="165"/>
      <c r="Z9" s="166"/>
      <c r="AA9" s="165"/>
      <c r="AB9" s="166"/>
      <c r="AC9" s="166"/>
      <c r="AD9" s="164"/>
      <c r="AE9" s="164"/>
      <c r="AF9" s="164"/>
      <c r="AG9" s="164"/>
    </row>
    <row r="10" spans="1:42" ht="20.100000000000001" customHeight="1" x14ac:dyDescent="0.25">
      <c r="A10" s="164"/>
      <c r="B10" s="173">
        <v>42243</v>
      </c>
      <c r="C10" s="204">
        <v>1987.66</v>
      </c>
      <c r="D10" s="172">
        <f t="shared" si="5"/>
        <v>2.429773616214299E-2</v>
      </c>
      <c r="E10" s="205">
        <f t="shared" si="6"/>
        <v>-5.4593710165331696E-2</v>
      </c>
      <c r="F10" s="220">
        <v>4812.71</v>
      </c>
      <c r="G10" s="172">
        <f t="shared" si="2"/>
        <v>2.4517087667161978E-2</v>
      </c>
      <c r="H10" s="205">
        <f t="shared" si="7"/>
        <v>-5.4793094644224875E-2</v>
      </c>
      <c r="I10" s="223">
        <v>300742.98</v>
      </c>
      <c r="J10" s="174">
        <v>360000</v>
      </c>
      <c r="K10" s="174">
        <f t="shared" si="3"/>
        <v>15910.77999999997</v>
      </c>
      <c r="L10" s="172">
        <f t="shared" si="8"/>
        <v>5.5860187155806013E-2</v>
      </c>
      <c r="M10" s="175">
        <f t="shared" si="0"/>
        <v>-59257.020000000019</v>
      </c>
      <c r="N10" s="186">
        <f t="shared" si="1"/>
        <v>-0.16460283333333339</v>
      </c>
      <c r="O10" s="175" t="b">
        <f t="shared" si="9"/>
        <v>1</v>
      </c>
      <c r="P10" s="186">
        <f>COUNTIF(O$2:O10, TRUE)/(COUNTIF(O$2:O10,FALSE) + COUNTIF(O$2:O10, TRUE))</f>
        <v>0.22222222222222221</v>
      </c>
      <c r="Q10" s="340"/>
      <c r="R10" s="340"/>
      <c r="S10" s="340"/>
      <c r="T10" s="340"/>
      <c r="U10" s="186">
        <f>STDEV(D$2:D10)*SQRT(252)</f>
        <v>0.42545538355052082</v>
      </c>
      <c r="V10" s="186">
        <f>STDEV(L$2:L10)*SQRT(252)</f>
        <v>0.52868202794227925</v>
      </c>
      <c r="W10" s="175">
        <f t="shared" si="4"/>
        <v>-0.31134561916923059</v>
      </c>
      <c r="X10" s="164" t="s">
        <v>123</v>
      </c>
      <c r="Y10" s="165"/>
      <c r="Z10" s="166"/>
      <c r="AA10" s="165"/>
      <c r="AB10" s="166"/>
      <c r="AC10" s="166"/>
      <c r="AD10" s="164"/>
      <c r="AE10" s="164"/>
      <c r="AF10" s="164"/>
      <c r="AG10" s="164"/>
    </row>
    <row r="11" spans="1:42" ht="20.100000000000001" customHeight="1" x14ac:dyDescent="0.25">
      <c r="A11" s="164"/>
      <c r="B11" s="173">
        <v>42244</v>
      </c>
      <c r="C11" s="204">
        <v>1988.87</v>
      </c>
      <c r="D11" s="172">
        <f t="shared" si="5"/>
        <v>6.0875602467213154E-4</v>
      </c>
      <c r="E11" s="205">
        <f t="shared" si="6"/>
        <v>-5.401818839063191E-2</v>
      </c>
      <c r="F11" s="220">
        <v>4828.32</v>
      </c>
      <c r="G11" s="172">
        <f t="shared" si="2"/>
        <v>3.2434948293164709E-3</v>
      </c>
      <c r="H11" s="205">
        <f t="shared" si="7"/>
        <v>-5.1727320934069197E-2</v>
      </c>
      <c r="I11" s="223">
        <v>307941.06</v>
      </c>
      <c r="J11" s="174">
        <v>360000</v>
      </c>
      <c r="K11" s="174">
        <f t="shared" si="3"/>
        <v>7198.0800000000163</v>
      </c>
      <c r="L11" s="172">
        <f t="shared" si="8"/>
        <v>2.3934324252556174E-2</v>
      </c>
      <c r="M11" s="175">
        <f t="shared" si="0"/>
        <v>-52058.94</v>
      </c>
      <c r="N11" s="186">
        <f t="shared" si="1"/>
        <v>-0.14460816666666668</v>
      </c>
      <c r="O11" s="175" t="b">
        <f t="shared" si="9"/>
        <v>1</v>
      </c>
      <c r="P11" s="186">
        <f>COUNTIF(O$2:O11, TRUE)/(COUNTIF(O$2:O11,FALSE) + COUNTIF(O$2:O11, TRUE))</f>
        <v>0.3</v>
      </c>
      <c r="Q11" s="340"/>
      <c r="R11" s="340"/>
      <c r="S11" s="340"/>
      <c r="T11" s="340"/>
      <c r="U11" s="186">
        <f>STDEV(D$2:D11)*SQRT(252)</f>
        <v>0.39984128605241964</v>
      </c>
      <c r="V11" s="186">
        <f>STDEV(L$2:L11)*SQRT(252)</f>
        <v>0.52303521027280186</v>
      </c>
      <c r="W11" s="175">
        <f t="shared" si="4"/>
        <v>-0.27647883703898773</v>
      </c>
      <c r="X11" s="164"/>
      <c r="Y11" s="165"/>
      <c r="Z11" s="166"/>
      <c r="AA11" s="165"/>
      <c r="AB11" s="166"/>
      <c r="AC11" s="166"/>
      <c r="AD11" s="164"/>
      <c r="AE11" s="164"/>
      <c r="AF11" s="164"/>
      <c r="AG11" s="164"/>
    </row>
    <row r="12" spans="1:42" ht="20.100000000000001" customHeight="1" x14ac:dyDescent="0.25">
      <c r="A12" s="164"/>
      <c r="B12" s="168">
        <v>42247</v>
      </c>
      <c r="C12" s="202">
        <v>1972.18</v>
      </c>
      <c r="D12" s="172">
        <f t="shared" si="5"/>
        <v>-8.391699809439445E-3</v>
      </c>
      <c r="E12" s="203">
        <f t="shared" si="6"/>
        <v>-6.1956583778847427E-2</v>
      </c>
      <c r="F12" s="219">
        <v>4776.51</v>
      </c>
      <c r="G12" s="172">
        <f t="shared" si="2"/>
        <v>-1.0730440401630277E-2</v>
      </c>
      <c r="H12" s="203">
        <f t="shared" si="7"/>
        <v>-6.1902704401280442E-2</v>
      </c>
      <c r="I12" s="484">
        <v>311200.71000000002</v>
      </c>
      <c r="J12" s="170">
        <v>360000</v>
      </c>
      <c r="K12" s="170">
        <f t="shared" si="3"/>
        <v>3259.6500000000233</v>
      </c>
      <c r="L12" s="172">
        <f t="shared" si="8"/>
        <v>1.0585304863209938E-2</v>
      </c>
      <c r="M12" s="169">
        <f t="shared" si="0"/>
        <v>-48799.289999999979</v>
      </c>
      <c r="N12" s="185">
        <f t="shared" si="1"/>
        <v>-0.13555358333333328</v>
      </c>
      <c r="O12" s="169" t="b">
        <f t="shared" si="9"/>
        <v>1</v>
      </c>
      <c r="P12" s="185">
        <f>COUNTIF(O$2:O12, TRUE)/(COUNTIF(O$2:O12,FALSE) + COUNTIF(O$2:O12, TRUE))</f>
        <v>0.36363636363636365</v>
      </c>
      <c r="Q12" s="339"/>
      <c r="R12" s="339"/>
      <c r="S12" s="339"/>
      <c r="T12" s="339"/>
      <c r="U12" s="185">
        <f>STDEV(D$2:D12)*SQRT(252)</f>
        <v>0.37718652016375942</v>
      </c>
      <c r="V12" s="185">
        <f>STDEV(L$2:L12)*SQRT(252)</f>
        <v>0.49903486890486387</v>
      </c>
      <c r="W12" s="169">
        <f t="shared" si="4"/>
        <v>-0.27163148665504422</v>
      </c>
      <c r="X12" s="164"/>
      <c r="Y12" s="165"/>
      <c r="Z12" s="166"/>
      <c r="AA12" s="165"/>
      <c r="AB12" s="166"/>
      <c r="AC12" s="166"/>
      <c r="AD12" s="164"/>
      <c r="AE12" s="164"/>
      <c r="AF12" s="164"/>
      <c r="AG12" s="164"/>
    </row>
    <row r="13" spans="1:42" ht="20.100000000000001" customHeight="1" x14ac:dyDescent="0.25">
      <c r="A13" s="164"/>
      <c r="B13" s="168">
        <v>42248</v>
      </c>
      <c r="C13" s="202">
        <v>1913.85</v>
      </c>
      <c r="D13" s="172">
        <f t="shared" si="5"/>
        <v>-2.9576407832956501E-2</v>
      </c>
      <c r="E13" s="203">
        <f t="shared" si="6"/>
        <v>-8.9700538422023995E-2</v>
      </c>
      <c r="F13" s="219">
        <v>4636.1000000000004</v>
      </c>
      <c r="G13" s="172">
        <f t="shared" si="2"/>
        <v>-2.9395939713305289E-2</v>
      </c>
      <c r="H13" s="203">
        <f t="shared" si="7"/>
        <v>-8.9478955947915134E-2</v>
      </c>
      <c r="I13" s="222">
        <v>307440.78999999998</v>
      </c>
      <c r="J13" s="170">
        <v>365000</v>
      </c>
      <c r="K13" s="170">
        <f t="shared" si="3"/>
        <v>-8759.9200000000419</v>
      </c>
      <c r="L13" s="172">
        <f t="shared" si="8"/>
        <v>-2.8148778966474854E-2</v>
      </c>
      <c r="M13" s="169">
        <f t="shared" si="0"/>
        <v>-57559.210000000021</v>
      </c>
      <c r="N13" s="185">
        <f t="shared" si="1"/>
        <v>-0.15769646575342472</v>
      </c>
      <c r="O13" s="169" t="b">
        <f t="shared" si="9"/>
        <v>1</v>
      </c>
      <c r="P13" s="185">
        <f>COUNTIF(O$2:O13, TRUE)/(COUNTIF(O$2:O13,FALSE) + COUNTIF(O$2:O13, TRUE))</f>
        <v>0.41666666666666669</v>
      </c>
      <c r="Q13" s="339"/>
      <c r="R13" s="339"/>
      <c r="S13" s="339"/>
      <c r="T13" s="339"/>
      <c r="U13" s="185">
        <f>STDEV(D$2:D13)*SQRT(252)</f>
        <v>0.37502713989732378</v>
      </c>
      <c r="V13" s="185">
        <f>STDEV(L$2:L13)*SQRT(252)</f>
        <v>0.48831680410668976</v>
      </c>
      <c r="W13" s="169">
        <f t="shared" si="4"/>
        <v>-0.32293884713205662</v>
      </c>
      <c r="X13" s="164"/>
      <c r="Y13" s="165"/>
      <c r="Z13" s="166"/>
      <c r="AA13" s="165"/>
      <c r="AB13" s="166"/>
      <c r="AC13" s="166"/>
      <c r="AD13" s="164"/>
      <c r="AE13" s="164"/>
      <c r="AF13" s="164"/>
      <c r="AG13" s="164"/>
    </row>
    <row r="14" spans="1:42" ht="20.100000000000001" customHeight="1" x14ac:dyDescent="0.25">
      <c r="A14" s="164"/>
      <c r="B14" s="168">
        <v>42249</v>
      </c>
      <c r="C14" s="202">
        <v>1948.86</v>
      </c>
      <c r="D14" s="172">
        <f t="shared" si="5"/>
        <v>1.829296966846931E-2</v>
      </c>
      <c r="E14" s="203">
        <f t="shared" si="6"/>
        <v>-7.3048457982154147E-2</v>
      </c>
      <c r="F14" s="219">
        <v>4749.9799999999996</v>
      </c>
      <c r="G14" s="172">
        <f t="shared" si="2"/>
        <v>2.4563749703414333E-2</v>
      </c>
      <c r="H14" s="203">
        <f t="shared" si="7"/>
        <v>-6.7113144922128221E-2</v>
      </c>
      <c r="I14" s="222">
        <v>326031.94</v>
      </c>
      <c r="J14" s="170">
        <v>380000</v>
      </c>
      <c r="K14" s="170">
        <f t="shared" si="3"/>
        <v>3591.1500000000233</v>
      </c>
      <c r="L14" s="172">
        <f t="shared" si="8"/>
        <v>1.1680785753900852E-2</v>
      </c>
      <c r="M14" s="169">
        <f t="shared" si="0"/>
        <v>-53968.06</v>
      </c>
      <c r="N14" s="185">
        <f t="shared" si="1"/>
        <v>-0.14202121052631578</v>
      </c>
      <c r="O14" s="169" t="b">
        <f t="shared" si="9"/>
        <v>0</v>
      </c>
      <c r="P14" s="185">
        <f>COUNTIF(O$2:O14, TRUE)/(COUNTIF(O$2:O14,FALSE) + COUNTIF(O$2:O14, TRUE))</f>
        <v>0.38461538461538464</v>
      </c>
      <c r="Q14" s="339"/>
      <c r="R14" s="339"/>
      <c r="S14" s="339"/>
      <c r="T14" s="339"/>
      <c r="U14" s="185">
        <f>STDEV(D$2:D14)*SQRT(252)</f>
        <v>0.37770238456909672</v>
      </c>
      <c r="V14" s="185">
        <f>STDEV(L$2:L14)*SQRT(252)</f>
        <v>0.47214016149480637</v>
      </c>
      <c r="W14" s="169">
        <f t="shared" si="4"/>
        <v>-0.30080307101322079</v>
      </c>
      <c r="Y14" s="165"/>
      <c r="Z14" s="166"/>
      <c r="AA14" s="165"/>
      <c r="AB14" s="166"/>
      <c r="AC14" s="166"/>
      <c r="AD14" s="164"/>
      <c r="AE14" s="164"/>
      <c r="AF14" s="164"/>
      <c r="AG14" s="164"/>
    </row>
    <row r="15" spans="1:42" ht="20.100000000000001" customHeight="1" x14ac:dyDescent="0.25">
      <c r="A15" s="164"/>
      <c r="B15" s="168">
        <v>42250</v>
      </c>
      <c r="C15" s="202">
        <v>1951.13</v>
      </c>
      <c r="D15" s="172">
        <f t="shared" si="5"/>
        <v>1.1647835144649741E-3</v>
      </c>
      <c r="E15" s="203">
        <f t="shared" si="6"/>
        <v>-7.1968760107303867E-2</v>
      </c>
      <c r="F15" s="219">
        <v>4733.5</v>
      </c>
      <c r="G15" s="172">
        <f t="shared" si="2"/>
        <v>-3.469488292582193E-3</v>
      </c>
      <c r="H15" s="203">
        <f t="shared" si="7"/>
        <v>-7.0349784944124721E-2</v>
      </c>
      <c r="I15" s="222">
        <v>328219.34000000003</v>
      </c>
      <c r="J15" s="170">
        <v>380000</v>
      </c>
      <c r="K15" s="170">
        <f t="shared" si="3"/>
        <v>2187.4000000000233</v>
      </c>
      <c r="L15" s="172">
        <f t="shared" si="8"/>
        <v>6.7091586180176802E-3</v>
      </c>
      <c r="M15" s="169">
        <f t="shared" si="0"/>
        <v>-51780.659999999974</v>
      </c>
      <c r="N15" s="185">
        <f t="shared" si="1"/>
        <v>-0.13626489473684203</v>
      </c>
      <c r="O15" s="169" t="b">
        <f t="shared" si="9"/>
        <v>1</v>
      </c>
      <c r="P15" s="185">
        <f>COUNTIF(O$2:O15, TRUE)/(COUNTIF(O$2:O15,FALSE) + COUNTIF(O$2:O15, TRUE))</f>
        <v>0.42857142857142855</v>
      </c>
      <c r="Q15" s="339"/>
      <c r="R15" s="339"/>
      <c r="S15" s="339"/>
      <c r="T15" s="339"/>
      <c r="U15" s="185">
        <f>STDEV(D$2:D15)*SQRT(252)</f>
        <v>0.3630118196770083</v>
      </c>
      <c r="V15" s="185">
        <f>STDEV(L$2:L15)*SQRT(252)</f>
        <v>0.45448950679382538</v>
      </c>
      <c r="W15" s="169">
        <f t="shared" si="4"/>
        <v>-0.29981967174141433</v>
      </c>
      <c r="X15" s="164"/>
      <c r="Y15" s="165"/>
      <c r="Z15" s="166"/>
      <c r="AA15" s="165"/>
      <c r="AB15" s="166"/>
      <c r="AC15" s="166"/>
      <c r="AD15" s="164"/>
      <c r="AE15" s="164"/>
      <c r="AF15" s="164"/>
      <c r="AG15" s="164"/>
    </row>
    <row r="16" spans="1:42" ht="20.100000000000001" customHeight="1" x14ac:dyDescent="0.25">
      <c r="A16" s="164"/>
      <c r="B16" s="168">
        <v>42251</v>
      </c>
      <c r="C16" s="202">
        <v>1921.22</v>
      </c>
      <c r="D16" s="172">
        <f t="shared" si="5"/>
        <v>-1.5329578244402004E-2</v>
      </c>
      <c r="E16" s="203">
        <f t="shared" si="6"/>
        <v>-8.6195087612488355E-2</v>
      </c>
      <c r="F16" s="219">
        <v>4683.92</v>
      </c>
      <c r="G16" s="172">
        <f t="shared" si="2"/>
        <v>-1.0474279074680454E-2</v>
      </c>
      <c r="H16" s="203">
        <f t="shared" si="7"/>
        <v>-8.0087200738456654E-2</v>
      </c>
      <c r="I16" s="222">
        <v>324929.40000000002</v>
      </c>
      <c r="J16" s="170">
        <v>380000</v>
      </c>
      <c r="K16" s="170">
        <f t="shared" si="3"/>
        <v>-3289.9400000000023</v>
      </c>
      <c r="L16" s="172">
        <f t="shared" si="8"/>
        <v>-1.0023601899875863E-2</v>
      </c>
      <c r="M16" s="169">
        <f t="shared" si="0"/>
        <v>-55070.599999999977</v>
      </c>
      <c r="N16" s="185">
        <f t="shared" si="1"/>
        <v>-0.1449226315789473</v>
      </c>
      <c r="O16" s="169" t="b">
        <f t="shared" si="9"/>
        <v>1</v>
      </c>
      <c r="P16" s="185">
        <f>COUNTIF(O$2:O16, TRUE)/(COUNTIF(O$2:O16,FALSE) + COUNTIF(O$2:O16, TRUE))</f>
        <v>0.46666666666666667</v>
      </c>
      <c r="Q16" s="339"/>
      <c r="R16" s="339"/>
      <c r="S16" s="339"/>
      <c r="T16" s="339"/>
      <c r="U16" s="185">
        <f>STDEV(D$2:D16)*SQRT(252)</f>
        <v>0.35126122417304334</v>
      </c>
      <c r="V16" s="185">
        <f>STDEV(L$2:L16)*SQRT(252)</f>
        <v>0.43762621603032426</v>
      </c>
      <c r="W16" s="169">
        <f t="shared" si="4"/>
        <v>-0.33115619282027942</v>
      </c>
      <c r="X16" s="164"/>
      <c r="Y16" s="165"/>
      <c r="Z16" s="166"/>
      <c r="AA16" s="165"/>
      <c r="AB16" s="166"/>
      <c r="AC16" s="166"/>
      <c r="AD16" s="164"/>
      <c r="AE16" s="164"/>
      <c r="AF16" s="164"/>
      <c r="AG16" s="164"/>
    </row>
    <row r="17" spans="1:33" ht="20.100000000000001" customHeight="1" x14ac:dyDescent="0.25">
      <c r="A17" s="164"/>
      <c r="B17" s="173">
        <v>42255</v>
      </c>
      <c r="C17" s="204">
        <v>1969.41</v>
      </c>
      <c r="D17" s="172">
        <f t="shared" si="5"/>
        <v>2.5083020164270647E-2</v>
      </c>
      <c r="E17" s="205">
        <f t="shared" si="6"/>
        <v>-6.3274100568862832E-2</v>
      </c>
      <c r="F17" s="220">
        <v>4811.93</v>
      </c>
      <c r="G17" s="172">
        <f t="shared" si="2"/>
        <v>2.7329672581939961E-2</v>
      </c>
      <c r="H17" s="205">
        <f t="shared" si="7"/>
        <v>-5.4946285130702821E-2</v>
      </c>
      <c r="I17" s="223">
        <v>331613.90000000002</v>
      </c>
      <c r="J17" s="174">
        <v>380000</v>
      </c>
      <c r="K17" s="174">
        <f t="shared" si="3"/>
        <v>6684.5</v>
      </c>
      <c r="L17" s="172">
        <f t="shared" si="8"/>
        <v>2.0572161214097585E-2</v>
      </c>
      <c r="M17" s="175">
        <f t="shared" si="0"/>
        <v>-48386.099999999977</v>
      </c>
      <c r="N17" s="186">
        <f t="shared" si="1"/>
        <v>-0.1273318421052631</v>
      </c>
      <c r="O17" s="175" t="b">
        <f t="shared" si="9"/>
        <v>0</v>
      </c>
      <c r="P17" s="186">
        <f>COUNTIF(O$2:O17, TRUE)/(COUNTIF(O$2:O17,FALSE) + COUNTIF(O$2:O17, TRUE))</f>
        <v>0.4375</v>
      </c>
      <c r="Q17" s="340"/>
      <c r="R17" s="340"/>
      <c r="S17" s="340"/>
      <c r="T17" s="340"/>
      <c r="U17" s="186">
        <f>STDEV(D$2:D17)*SQRT(252)</f>
        <v>0.36194228365900932</v>
      </c>
      <c r="V17" s="186">
        <f>STDEV(L$2:L17)*SQRT(252)</f>
        <v>0.43324605788841486</v>
      </c>
      <c r="W17" s="175">
        <f t="shared" si="4"/>
        <v>-0.29390190582659192</v>
      </c>
      <c r="X17" s="164"/>
      <c r="Y17" s="165"/>
      <c r="Z17" s="166"/>
      <c r="AA17" s="165"/>
      <c r="AB17" s="166"/>
      <c r="AC17" s="166"/>
      <c r="AD17" s="164"/>
      <c r="AE17" s="164"/>
      <c r="AF17" s="164"/>
      <c r="AG17" s="164"/>
    </row>
    <row r="18" spans="1:33" ht="20.100000000000001" customHeight="1" x14ac:dyDescent="0.25">
      <c r="A18" s="164"/>
      <c r="B18" s="173">
        <v>42256</v>
      </c>
      <c r="C18" s="204">
        <v>1942.04</v>
      </c>
      <c r="D18" s="172">
        <f t="shared" si="5"/>
        <v>-1.3897563229596741E-2</v>
      </c>
      <c r="E18" s="205">
        <f t="shared" si="6"/>
        <v>-7.629230798500794E-2</v>
      </c>
      <c r="F18" s="220">
        <v>4756.53</v>
      </c>
      <c r="G18" s="172">
        <f t="shared" si="2"/>
        <v>-1.1513051935502084E-2</v>
      </c>
      <c r="H18" s="205">
        <f t="shared" si="7"/>
        <v>-6.5826737631832208E-2</v>
      </c>
      <c r="I18" s="223">
        <v>321792.48</v>
      </c>
      <c r="J18" s="174">
        <v>380000</v>
      </c>
      <c r="K18" s="174">
        <f t="shared" si="3"/>
        <v>-9821.4200000000419</v>
      </c>
      <c r="L18" s="172">
        <f t="shared" si="8"/>
        <v>-2.9617033544130814E-2</v>
      </c>
      <c r="M18" s="175">
        <f t="shared" si="0"/>
        <v>-58207.520000000019</v>
      </c>
      <c r="N18" s="186">
        <f t="shared" si="1"/>
        <v>-0.15317768421052635</v>
      </c>
      <c r="O18" s="175" t="b">
        <f t="shared" si="9"/>
        <v>0</v>
      </c>
      <c r="P18" s="186">
        <f>COUNTIF(O$2:O18, TRUE)/(COUNTIF(O$2:O18,FALSE) + COUNTIF(O$2:O18, TRUE))</f>
        <v>0.41176470588235292</v>
      </c>
      <c r="Q18" s="340"/>
      <c r="R18" s="340"/>
      <c r="S18" s="340"/>
      <c r="T18" s="340"/>
      <c r="U18" s="186">
        <f>STDEV(D$2:D18)*SQRT(252)</f>
        <v>0.35182224095506454</v>
      </c>
      <c r="V18" s="186">
        <f>STDEV(L$2:L18)*SQRT(252)</f>
        <v>0.43262248943141224</v>
      </c>
      <c r="W18" s="175">
        <f t="shared" si="4"/>
        <v>-0.35406777953648449</v>
      </c>
      <c r="X18" s="164"/>
      <c r="Y18" s="165"/>
      <c r="Z18" s="166"/>
      <c r="AA18" s="165"/>
      <c r="AB18" s="166"/>
      <c r="AC18" s="166"/>
      <c r="AD18" s="164"/>
      <c r="AE18" s="164"/>
      <c r="AF18" s="164"/>
      <c r="AG18" s="164"/>
    </row>
    <row r="19" spans="1:33" ht="20.100000000000001" customHeight="1" x14ac:dyDescent="0.25">
      <c r="A19" s="164"/>
      <c r="B19" s="173">
        <v>42257</v>
      </c>
      <c r="C19" s="204">
        <v>1952.29</v>
      </c>
      <c r="D19" s="172">
        <f t="shared" si="5"/>
        <v>5.2779551399559227E-3</v>
      </c>
      <c r="E19" s="205">
        <f t="shared" si="6"/>
        <v>-7.1417020224120581E-2</v>
      </c>
      <c r="F19" s="220">
        <v>4796.25</v>
      </c>
      <c r="G19" s="172">
        <f t="shared" si="2"/>
        <v>8.3506253508335397E-3</v>
      </c>
      <c r="H19" s="205">
        <f t="shared" si="7"/>
        <v>-5.8025806705029721E-2</v>
      </c>
      <c r="I19" s="223">
        <v>323389.99</v>
      </c>
      <c r="J19" s="174">
        <v>380000</v>
      </c>
      <c r="K19" s="174">
        <f t="shared" si="3"/>
        <v>1597.5100000000093</v>
      </c>
      <c r="L19" s="172">
        <f t="shared" si="8"/>
        <v>4.9644106040017139E-3</v>
      </c>
      <c r="M19" s="175">
        <f t="shared" si="0"/>
        <v>-56610.010000000009</v>
      </c>
      <c r="N19" s="186">
        <f t="shared" si="1"/>
        <v>-0.14897371052631581</v>
      </c>
      <c r="O19" s="175" t="b">
        <f t="shared" si="9"/>
        <v>0</v>
      </c>
      <c r="P19" s="186">
        <f>COUNTIF(O$2:O19, TRUE)/(COUNTIF(O$2:O19,FALSE) + COUNTIF(O$2:O19, TRUE))</f>
        <v>0.3888888888888889</v>
      </c>
      <c r="Q19" s="340"/>
      <c r="R19" s="340"/>
      <c r="S19" s="340"/>
      <c r="T19" s="340"/>
      <c r="U19" s="186">
        <f>STDEV(D$2:D19)*SQRT(252)</f>
        <v>0.34281735693264087</v>
      </c>
      <c r="V19" s="186">
        <f>STDEV(L$2:L19)*SQRT(252)</f>
        <v>0.42023205119752755</v>
      </c>
      <c r="W19" s="175">
        <f t="shared" si="4"/>
        <v>-0.35450344661190919</v>
      </c>
      <c r="X19" s="164"/>
      <c r="Y19" s="165"/>
      <c r="Z19" s="166"/>
      <c r="AA19" s="165"/>
      <c r="AB19" s="166"/>
      <c r="AC19" s="166"/>
      <c r="AD19" s="164"/>
      <c r="AE19" s="164"/>
      <c r="AF19" s="164"/>
      <c r="AG19" s="164"/>
    </row>
    <row r="20" spans="1:33" ht="20.100000000000001" customHeight="1" x14ac:dyDescent="0.25">
      <c r="A20" s="164"/>
      <c r="B20" s="173">
        <v>42258</v>
      </c>
      <c r="C20" s="204">
        <v>1961.05</v>
      </c>
      <c r="D20" s="172">
        <f t="shared" si="5"/>
        <v>4.4870382986134183E-3</v>
      </c>
      <c r="E20" s="205">
        <f t="shared" si="6"/>
        <v>-6.7250432830425644E-2</v>
      </c>
      <c r="F20" s="220">
        <v>4822.34</v>
      </c>
      <c r="G20" s="172">
        <f t="shared" si="2"/>
        <v>5.4396664060464206E-3</v>
      </c>
      <c r="H20" s="205">
        <f t="shared" si="7"/>
        <v>-5.2901781330400396E-2</v>
      </c>
      <c r="I20" s="223">
        <v>323039.64</v>
      </c>
      <c r="J20" s="174">
        <v>380000</v>
      </c>
      <c r="K20" s="174">
        <f t="shared" si="3"/>
        <v>-350.34999999997672</v>
      </c>
      <c r="L20" s="172">
        <f t="shared" si="8"/>
        <v>-1.0833668661172126E-3</v>
      </c>
      <c r="M20" s="175">
        <f t="shared" si="0"/>
        <v>-56960.359999999986</v>
      </c>
      <c r="N20" s="186">
        <f t="shared" si="1"/>
        <v>-0.14989568421052629</v>
      </c>
      <c r="O20" s="175" t="b">
        <f t="shared" si="9"/>
        <v>0</v>
      </c>
      <c r="P20" s="186">
        <f>COUNTIF(O$2:O20, TRUE)/(COUNTIF(O$2:O20,FALSE) + COUNTIF(O$2:O20, TRUE))</f>
        <v>0.36842105263157893</v>
      </c>
      <c r="Q20" s="340"/>
      <c r="R20" s="340"/>
      <c r="S20" s="340"/>
      <c r="T20" s="340"/>
      <c r="U20" s="186">
        <f>STDEV(D$2:D20)*SQRT(252)</f>
        <v>0.33414073790213511</v>
      </c>
      <c r="V20" s="186">
        <f>STDEV(L$2:L20)*SQRT(252)</f>
        <v>0.40776589668846686</v>
      </c>
      <c r="W20" s="175">
        <f t="shared" si="4"/>
        <v>-0.36760230668590366</v>
      </c>
      <c r="X20" s="164"/>
      <c r="Y20" s="165"/>
      <c r="Z20" s="166"/>
      <c r="AA20" s="165"/>
      <c r="AB20" s="166"/>
      <c r="AC20" s="166"/>
      <c r="AD20" s="164"/>
      <c r="AE20" s="164"/>
      <c r="AF20" s="164"/>
      <c r="AG20" s="164"/>
    </row>
    <row r="21" spans="1:33" ht="20.100000000000001" customHeight="1" x14ac:dyDescent="0.25">
      <c r="A21" s="164"/>
      <c r="B21" s="168">
        <v>42261</v>
      </c>
      <c r="C21" s="202">
        <v>1953.03</v>
      </c>
      <c r="D21" s="172">
        <f t="shared" si="5"/>
        <v>-4.0896458529869114E-3</v>
      </c>
      <c r="E21" s="203">
        <f t="shared" si="6"/>
        <v>-7.1065048229676034E-2</v>
      </c>
      <c r="F21" s="219">
        <v>4805.76</v>
      </c>
      <c r="G21" s="172">
        <f t="shared" si="2"/>
        <v>-3.4381648743141147E-3</v>
      </c>
      <c r="H21" s="203">
        <f t="shared" si="7"/>
        <v>-5.6158061158355678E-2</v>
      </c>
      <c r="I21" s="222">
        <v>326015.75</v>
      </c>
      <c r="J21" s="170">
        <v>380000</v>
      </c>
      <c r="K21" s="170">
        <f t="shared" si="3"/>
        <v>2976.109999999986</v>
      </c>
      <c r="L21" s="172">
        <f t="shared" si="8"/>
        <v>9.2128322084558591E-3</v>
      </c>
      <c r="M21" s="169">
        <f t="shared" si="0"/>
        <v>-53984.25</v>
      </c>
      <c r="N21" s="185">
        <f t="shared" si="1"/>
        <v>-0.14206381578947369</v>
      </c>
      <c r="O21" s="169" t="b">
        <f t="shared" si="9"/>
        <v>1</v>
      </c>
      <c r="P21" s="185">
        <f>COUNTIF(O$2:O21, TRUE)/(COUNTIF(O$2:O21,FALSE) + COUNTIF(O$2:O21, TRUE))</f>
        <v>0.4</v>
      </c>
      <c r="Q21" s="339"/>
      <c r="R21" s="339"/>
      <c r="S21" s="339"/>
      <c r="T21" s="339"/>
      <c r="U21" s="185">
        <f>STDEV(D$2:D21)*SQRT(252)</f>
        <v>0.3247303591191491</v>
      </c>
      <c r="V21" s="185">
        <f>STDEV(L$2:L21)*SQRT(252)</f>
        <v>0.39882009643497413</v>
      </c>
      <c r="W21" s="169">
        <f t="shared" si="4"/>
        <v>-0.35621027390387933</v>
      </c>
      <c r="X21" s="164"/>
      <c r="Y21" s="165"/>
      <c r="Z21" s="166"/>
      <c r="AA21" s="165"/>
      <c r="AB21" s="166"/>
      <c r="AC21" s="166"/>
      <c r="AD21" s="164"/>
      <c r="AE21" s="164"/>
      <c r="AF21" s="164"/>
      <c r="AG21" s="164"/>
    </row>
    <row r="22" spans="1:33" ht="20.100000000000001" customHeight="1" x14ac:dyDescent="0.25">
      <c r="A22" s="176"/>
      <c r="B22" s="168">
        <v>42262</v>
      </c>
      <c r="C22" s="202">
        <v>1978.09</v>
      </c>
      <c r="D22" s="172">
        <f t="shared" si="5"/>
        <v>1.2831344116577803E-2</v>
      </c>
      <c r="E22" s="203">
        <f t="shared" si="6"/>
        <v>-5.9145564201594399E-2</v>
      </c>
      <c r="F22" s="219">
        <v>4860.5200000000004</v>
      </c>
      <c r="G22" s="172">
        <f t="shared" si="2"/>
        <v>1.1394659741643406E-2</v>
      </c>
      <c r="H22" s="203">
        <f t="shared" si="7"/>
        <v>-4.540330341536214E-2</v>
      </c>
      <c r="I22" s="222">
        <v>328528.74</v>
      </c>
      <c r="J22" s="170">
        <v>380000</v>
      </c>
      <c r="K22" s="170">
        <f t="shared" si="3"/>
        <v>2512.9899999999907</v>
      </c>
      <c r="L22" s="172">
        <f t="shared" si="8"/>
        <v>7.7081858775227595E-3</v>
      </c>
      <c r="M22" s="169">
        <f t="shared" si="0"/>
        <v>-51471.260000000009</v>
      </c>
      <c r="N22" s="185">
        <f t="shared" si="1"/>
        <v>-0.13545068421052633</v>
      </c>
      <c r="O22" s="169" t="b">
        <f t="shared" si="9"/>
        <v>0</v>
      </c>
      <c r="P22" s="185">
        <f>COUNTIF(O$2:O22, TRUE)/(COUNTIF(O$2:O22,FALSE) + COUNTIF(O$2:O22, TRUE))</f>
        <v>0.38095238095238093</v>
      </c>
      <c r="Q22" s="339"/>
      <c r="R22" s="339"/>
      <c r="S22" s="339"/>
      <c r="T22" s="339"/>
      <c r="U22" s="185">
        <f>STDEV(D$2:D22)*SQRT(252)</f>
        <v>0.32145355759875488</v>
      </c>
      <c r="V22" s="185">
        <f>STDEV(L$2:L22)*SQRT(252)</f>
        <v>0.38986525703766828</v>
      </c>
      <c r="W22" s="169">
        <f t="shared" si="4"/>
        <v>-0.34742948176436061</v>
      </c>
      <c r="X22" s="164"/>
      <c r="Y22" s="165"/>
      <c r="Z22" s="166"/>
      <c r="AA22" s="165"/>
      <c r="AB22" s="166"/>
      <c r="AC22" s="166"/>
      <c r="AD22" s="164"/>
      <c r="AE22" s="164"/>
      <c r="AF22" s="164"/>
      <c r="AG22" s="164"/>
    </row>
    <row r="23" spans="1:33" ht="20.100000000000001" customHeight="1" x14ac:dyDescent="0.25">
      <c r="A23" s="176"/>
      <c r="B23" s="168">
        <v>42263</v>
      </c>
      <c r="C23" s="202">
        <v>1995.31</v>
      </c>
      <c r="D23" s="172">
        <f t="shared" si="5"/>
        <v>8.7053672987579076E-3</v>
      </c>
      <c r="E23" s="203">
        <f t="shared" si="6"/>
        <v>-5.0955080763303642E-2</v>
      </c>
      <c r="F23" s="219">
        <v>4889.24</v>
      </c>
      <c r="G23" s="172">
        <f t="shared" si="2"/>
        <v>5.908832799782604E-3</v>
      </c>
      <c r="H23" s="203">
        <f t="shared" si="7"/>
        <v>-3.9762751144018706E-2</v>
      </c>
      <c r="I23" s="222">
        <v>333204.93</v>
      </c>
      <c r="J23" s="170">
        <v>380000</v>
      </c>
      <c r="K23" s="170">
        <f t="shared" si="3"/>
        <v>4676.1900000000023</v>
      </c>
      <c r="L23" s="172">
        <f t="shared" si="8"/>
        <v>1.4233731879895812E-2</v>
      </c>
      <c r="M23" s="169">
        <f t="shared" si="0"/>
        <v>-46795.070000000007</v>
      </c>
      <c r="N23" s="185">
        <f t="shared" si="1"/>
        <v>-0.1231449210526316</v>
      </c>
      <c r="O23" s="169" t="b">
        <f t="shared" si="9"/>
        <v>1</v>
      </c>
      <c r="P23" s="185">
        <f>COUNTIF(O$2:O23, TRUE)/(COUNTIF(O$2:O23,FALSE) + COUNTIF(O$2:O23, TRUE))</f>
        <v>0.40909090909090912</v>
      </c>
      <c r="Q23" s="339"/>
      <c r="R23" s="339"/>
      <c r="S23" s="339"/>
      <c r="T23" s="339"/>
      <c r="U23" s="185">
        <f>STDEV(D$2:D23)*SQRT(252)</f>
        <v>0.31586031332458192</v>
      </c>
      <c r="V23" s="185">
        <f>STDEV(L$2:L23)*SQRT(252)</f>
        <v>0.38411926521956707</v>
      </c>
      <c r="W23" s="169">
        <f t="shared" si="4"/>
        <v>-0.32059032754381772</v>
      </c>
      <c r="X23" s="164"/>
      <c r="Y23" s="165"/>
      <c r="Z23" s="166"/>
      <c r="AA23" s="165"/>
      <c r="AB23" s="166"/>
      <c r="AC23" s="166"/>
      <c r="AD23" s="164"/>
      <c r="AE23" s="164"/>
      <c r="AF23" s="164"/>
      <c r="AG23" s="164"/>
    </row>
    <row r="24" spans="1:33" ht="20.100000000000001" customHeight="1" x14ac:dyDescent="0.25">
      <c r="A24" s="176"/>
      <c r="B24" s="168">
        <v>42264</v>
      </c>
      <c r="C24" s="202">
        <v>1990.2</v>
      </c>
      <c r="D24" s="172">
        <f t="shared" si="5"/>
        <v>-2.5610055580335385E-3</v>
      </c>
      <c r="E24" s="203">
        <f t="shared" si="6"/>
        <v>-5.3385590076292309E-2</v>
      </c>
      <c r="F24" s="219">
        <v>4893.95</v>
      </c>
      <c r="G24" s="172">
        <f t="shared" si="2"/>
        <v>9.6333990558860607E-4</v>
      </c>
      <c r="H24" s="203">
        <f t="shared" si="7"/>
        <v>-3.8837716283363119E-2</v>
      </c>
      <c r="I24" s="222">
        <v>333913.03999999998</v>
      </c>
      <c r="J24" s="170">
        <v>380000</v>
      </c>
      <c r="K24" s="170">
        <f t="shared" si="3"/>
        <v>708.10999999998603</v>
      </c>
      <c r="L24" s="172">
        <f t="shared" si="8"/>
        <v>2.1251486285031439E-3</v>
      </c>
      <c r="M24" s="169">
        <f t="shared" si="0"/>
        <v>-46086.960000000021</v>
      </c>
      <c r="N24" s="185">
        <f t="shared" si="1"/>
        <v>-0.12128147368421058</v>
      </c>
      <c r="O24" s="169" t="b">
        <f t="shared" si="9"/>
        <v>1</v>
      </c>
      <c r="P24" s="185">
        <f>COUNTIF(O$2:O24, TRUE)/(COUNTIF(O$2:O24,FALSE) + COUNTIF(O$2:O24, TRUE))</f>
        <v>0.43478260869565216</v>
      </c>
      <c r="Q24" s="339"/>
      <c r="R24" s="339"/>
      <c r="S24" s="339"/>
      <c r="T24" s="339"/>
      <c r="U24" s="185">
        <f>STDEV(D$2:D24)*SQRT(252)</f>
        <v>0.30824938276419228</v>
      </c>
      <c r="V24" s="185">
        <f>STDEV(L$2:L24)*SQRT(252)</f>
        <v>0.37503116894241934</v>
      </c>
      <c r="W24" s="169">
        <f t="shared" si="4"/>
        <v>-0.32339038386121877</v>
      </c>
      <c r="X24" s="164"/>
      <c r="Y24" s="165"/>
      <c r="Z24" s="166"/>
      <c r="AA24" s="165"/>
      <c r="AB24" s="166"/>
      <c r="AC24" s="166"/>
      <c r="AD24" s="164"/>
      <c r="AE24" s="164"/>
      <c r="AF24" s="164"/>
      <c r="AG24" s="164"/>
    </row>
    <row r="25" spans="1:33" ht="20.100000000000001" customHeight="1" x14ac:dyDescent="0.25">
      <c r="A25" s="176"/>
      <c r="B25" s="168">
        <v>42265</v>
      </c>
      <c r="C25" s="202">
        <v>1958.08</v>
      </c>
      <c r="D25" s="172">
        <f t="shared" si="5"/>
        <v>-1.6139081499346859E-2</v>
      </c>
      <c r="E25" s="203">
        <f t="shared" si="6"/>
        <v>-6.866307718650716E-2</v>
      </c>
      <c r="F25" s="219">
        <v>4827.2299999999996</v>
      </c>
      <c r="G25" s="172">
        <f t="shared" si="2"/>
        <v>-1.3633159308942726E-2</v>
      </c>
      <c r="H25" s="203">
        <f t="shared" si="7"/>
        <v>-5.1941394819019243E-2</v>
      </c>
      <c r="I25" s="222">
        <v>334619.5</v>
      </c>
      <c r="J25" s="170">
        <v>390000</v>
      </c>
      <c r="K25" s="170">
        <f t="shared" si="3"/>
        <v>-9293.539999999979</v>
      </c>
      <c r="L25" s="172">
        <f t="shared" si="8"/>
        <v>-2.7832216435752195E-2</v>
      </c>
      <c r="M25" s="169">
        <f t="shared" si="0"/>
        <v>-55380.5</v>
      </c>
      <c r="N25" s="185">
        <f t="shared" si="1"/>
        <v>-0.14200128205128204</v>
      </c>
      <c r="O25" s="169" t="b">
        <f t="shared" si="9"/>
        <v>0</v>
      </c>
      <c r="P25" s="185">
        <f>COUNTIF(O$2:O25, TRUE)/(COUNTIF(O$2:O25,FALSE) + COUNTIF(O$2:O25, TRUE))</f>
        <v>0.41666666666666669</v>
      </c>
      <c r="Q25" s="339"/>
      <c r="R25" s="339"/>
      <c r="S25" s="339"/>
      <c r="T25" s="339"/>
      <c r="U25" s="185">
        <f>STDEV(D$2:D25)*SQRT(252)</f>
        <v>0.30462094080099172</v>
      </c>
      <c r="V25" s="185">
        <f>STDEV(L$2:L25)*SQRT(252)</f>
        <v>0.37697940519041084</v>
      </c>
      <c r="W25" s="169">
        <f t="shared" si="4"/>
        <v>-0.37668180302729731</v>
      </c>
      <c r="X25" s="164"/>
      <c r="Y25" s="165"/>
      <c r="Z25" s="166"/>
      <c r="AA25" s="165"/>
      <c r="AB25" s="166"/>
      <c r="AC25" s="166"/>
      <c r="AD25" s="164"/>
      <c r="AE25" s="164"/>
      <c r="AF25" s="164"/>
      <c r="AG25" s="164"/>
    </row>
    <row r="26" spans="1:33" ht="20.100000000000001" customHeight="1" x14ac:dyDescent="0.25">
      <c r="A26" s="176"/>
      <c r="B26" s="173">
        <v>42268</v>
      </c>
      <c r="C26" s="204">
        <v>1966.97</v>
      </c>
      <c r="D26" s="172">
        <f t="shared" si="5"/>
        <v>4.5401617911423947E-3</v>
      </c>
      <c r="E26" s="205">
        <f t="shared" si="6"/>
        <v>-6.4434656874869212E-2</v>
      </c>
      <c r="F26" s="220">
        <v>4828.95</v>
      </c>
      <c r="G26" s="172">
        <f t="shared" si="2"/>
        <v>3.5631200502156618E-4</v>
      </c>
      <c r="H26" s="205">
        <f t="shared" si="7"/>
        <v>-5.1603590156529253E-2</v>
      </c>
      <c r="I26" s="223">
        <v>336797.05</v>
      </c>
      <c r="J26" s="174">
        <v>390000</v>
      </c>
      <c r="K26" s="174">
        <f t="shared" si="3"/>
        <v>2177.5499999999884</v>
      </c>
      <c r="L26" s="172">
        <f t="shared" si="8"/>
        <v>6.5075406543850202E-3</v>
      </c>
      <c r="M26" s="175">
        <f t="shared" si="0"/>
        <v>-53202.950000000012</v>
      </c>
      <c r="N26" s="186">
        <f t="shared" si="1"/>
        <v>-0.13641782051282053</v>
      </c>
      <c r="O26" s="175" t="b">
        <f t="shared" si="9"/>
        <v>1</v>
      </c>
      <c r="P26" s="186">
        <f>COUNTIF(O$2:O26, TRUE)/(COUNTIF(O$2:O26,FALSE) + COUNTIF(O$2:O26, TRUE))</f>
        <v>0.44</v>
      </c>
      <c r="Q26" s="340"/>
      <c r="R26" s="340"/>
      <c r="S26" s="340"/>
      <c r="T26" s="340"/>
      <c r="U26" s="186">
        <f>STDEV(D$2:D26)*SQRT(252)</f>
        <v>0.29890210628506431</v>
      </c>
      <c r="V26" s="186">
        <f>STDEV(L$2:L26)*SQRT(252)</f>
        <v>0.36977509623053162</v>
      </c>
      <c r="W26" s="175">
        <f t="shared" si="4"/>
        <v>-0.36892106013481385</v>
      </c>
      <c r="X26" s="164"/>
      <c r="Y26" s="165"/>
      <c r="Z26" s="166"/>
      <c r="AA26" s="165"/>
      <c r="AB26" s="166"/>
      <c r="AC26" s="166"/>
      <c r="AD26" s="164"/>
      <c r="AE26" s="164"/>
      <c r="AF26" s="164"/>
      <c r="AG26" s="164"/>
    </row>
    <row r="27" spans="1:33" ht="20.100000000000001" customHeight="1" x14ac:dyDescent="0.25">
      <c r="A27" s="176"/>
      <c r="B27" s="173">
        <v>42269</v>
      </c>
      <c r="C27" s="204">
        <v>1942.74</v>
      </c>
      <c r="D27" s="172">
        <f t="shared" si="5"/>
        <v>-1.2318439020422282E-2</v>
      </c>
      <c r="E27" s="205">
        <f t="shared" si="6"/>
        <v>-7.5959361503776579E-2</v>
      </c>
      <c r="F27" s="220">
        <v>4756.72</v>
      </c>
      <c r="G27" s="172">
        <f t="shared" si="2"/>
        <v>-1.4957703020325239E-2</v>
      </c>
      <c r="H27" s="205">
        <f t="shared" si="7"/>
        <v>-6.578942200051055E-2</v>
      </c>
      <c r="I27" s="223">
        <v>328628.18</v>
      </c>
      <c r="J27" s="174">
        <v>390000</v>
      </c>
      <c r="K27" s="174">
        <f t="shared" si="3"/>
        <v>-8168.8699999999953</v>
      </c>
      <c r="L27" s="172">
        <f t="shared" si="8"/>
        <v>-2.4254577051669533E-2</v>
      </c>
      <c r="M27" s="175">
        <f t="shared" si="0"/>
        <v>-61371.820000000007</v>
      </c>
      <c r="N27" s="186">
        <f t="shared" si="1"/>
        <v>-0.15736364102564104</v>
      </c>
      <c r="O27" s="175" t="b">
        <f t="shared" si="9"/>
        <v>0</v>
      </c>
      <c r="P27" s="186">
        <f>COUNTIF(O$2:O27, TRUE)/(COUNTIF(O$2:O27,FALSE) + COUNTIF(O$2:O27, TRUE))</f>
        <v>0.42307692307692307</v>
      </c>
      <c r="Q27" s="340"/>
      <c r="R27" s="340"/>
      <c r="S27" s="340"/>
      <c r="T27" s="340"/>
      <c r="U27" s="186">
        <f>STDEV(D$2:D27)*SQRT(252)</f>
        <v>0.29423063039577757</v>
      </c>
      <c r="V27" s="186">
        <f>STDEV(L$2:L27)*SQRT(252)</f>
        <v>0.36891081336097858</v>
      </c>
      <c r="W27" s="175">
        <f t="shared" si="4"/>
        <v>-0.42656283124902872</v>
      </c>
      <c r="X27" s="164"/>
      <c r="Y27" s="165"/>
      <c r="Z27" s="166"/>
      <c r="AA27" s="165"/>
      <c r="AB27" s="166"/>
      <c r="AC27" s="166"/>
      <c r="AD27" s="164"/>
      <c r="AE27" s="164"/>
      <c r="AF27" s="164"/>
      <c r="AG27" s="164"/>
    </row>
    <row r="28" spans="1:33" ht="20.100000000000001" customHeight="1" x14ac:dyDescent="0.25">
      <c r="A28" s="176"/>
      <c r="B28" s="173">
        <v>42270</v>
      </c>
      <c r="C28" s="204">
        <v>1938.76</v>
      </c>
      <c r="D28" s="172">
        <f t="shared" si="5"/>
        <v>-2.0486529334857047E-3</v>
      </c>
      <c r="E28" s="205">
        <f t="shared" si="6"/>
        <v>-7.7852400068491881E-2</v>
      </c>
      <c r="F28" s="220">
        <v>4752.74</v>
      </c>
      <c r="G28" s="172">
        <f t="shared" si="2"/>
        <v>-8.3671101094882037E-4</v>
      </c>
      <c r="H28" s="205">
        <f t="shared" si="7"/>
        <v>-6.6571086277667585E-2</v>
      </c>
      <c r="I28" s="223">
        <v>321819.21000000002</v>
      </c>
      <c r="J28" s="174">
        <v>390000</v>
      </c>
      <c r="K28" s="174">
        <f t="shared" si="3"/>
        <v>-6808.9699999999721</v>
      </c>
      <c r="L28" s="172">
        <f t="shared" si="8"/>
        <v>-2.0719373487690471E-2</v>
      </c>
      <c r="M28" s="175">
        <f t="shared" si="0"/>
        <v>-68180.789999999979</v>
      </c>
      <c r="N28" s="186">
        <f t="shared" si="1"/>
        <v>-0.17482253846153842</v>
      </c>
      <c r="O28" s="175" t="b">
        <f t="shared" si="9"/>
        <v>0</v>
      </c>
      <c r="P28" s="186">
        <f>COUNTIF(O$2:O28, TRUE)/(COUNTIF(O$2:O28,FALSE) + COUNTIF(O$2:O28, TRUE))</f>
        <v>0.40740740740740738</v>
      </c>
      <c r="Q28" s="340"/>
      <c r="R28" s="340"/>
      <c r="S28" s="340"/>
      <c r="T28" s="340"/>
      <c r="U28" s="186">
        <f>STDEV(D$2:D28)*SQRT(252)</f>
        <v>0.288300857286579</v>
      </c>
      <c r="V28" s="186">
        <f>STDEV(L$2:L28)*SQRT(252)</f>
        <v>0.36576166417456935</v>
      </c>
      <c r="W28" s="175">
        <f t="shared" si="4"/>
        <v>-0.47796845756393919</v>
      </c>
      <c r="X28" s="165"/>
      <c r="Y28" s="166"/>
      <c r="Z28" s="166"/>
      <c r="AA28" s="164"/>
      <c r="AB28" s="164"/>
      <c r="AC28" s="164"/>
      <c r="AD28" s="164"/>
    </row>
    <row r="29" spans="1:33" ht="20.100000000000001" customHeight="1" x14ac:dyDescent="0.25">
      <c r="A29" s="176"/>
      <c r="B29" s="173">
        <v>42271</v>
      </c>
      <c r="C29" s="204">
        <v>1932.24</v>
      </c>
      <c r="D29" s="172">
        <f t="shared" si="5"/>
        <v>-3.3629742722152212E-3</v>
      </c>
      <c r="E29" s="205">
        <f t="shared" si="6"/>
        <v>-8.0953558722246549E-2</v>
      </c>
      <c r="F29" s="220">
        <v>4734.4799999999996</v>
      </c>
      <c r="G29" s="172">
        <f t="shared" si="2"/>
        <v>-3.8419943022341258E-3</v>
      </c>
      <c r="H29" s="205">
        <f t="shared" si="7"/>
        <v>-7.0157314845729374E-2</v>
      </c>
      <c r="I29" s="224">
        <v>323446.15999999997</v>
      </c>
      <c r="J29" s="174">
        <v>390000</v>
      </c>
      <c r="K29" s="174">
        <f t="shared" ref="K29:K49" si="10">I29-I28-J29+J28</f>
        <v>1626.9499999999534</v>
      </c>
      <c r="L29" s="172">
        <f t="shared" si="8"/>
        <v>5.0554781984579267E-3</v>
      </c>
      <c r="M29" s="175">
        <f t="shared" si="0"/>
        <v>-66553.840000000026</v>
      </c>
      <c r="N29" s="186">
        <f t="shared" si="1"/>
        <v>-0.17065087179487187</v>
      </c>
      <c r="O29" s="175" t="b">
        <f t="shared" si="9"/>
        <v>1</v>
      </c>
      <c r="P29" s="186">
        <f>COUNTIF(O$2:O29, TRUE)/(COUNTIF(O$2:O29,FALSE) + COUNTIF(O$2:O29, TRUE))</f>
        <v>0.42857142857142855</v>
      </c>
      <c r="Q29" s="340"/>
      <c r="R29" s="340"/>
      <c r="S29" s="340"/>
      <c r="T29" s="340"/>
      <c r="U29" s="186">
        <f>STDEV(D$2:D29)*SQRT(252)</f>
        <v>0.28270501442194107</v>
      </c>
      <c r="V29" s="186">
        <f>STDEV(L$2:L29)*SQRT(252)</f>
        <v>0.35959656379312804</v>
      </c>
      <c r="W29" s="175">
        <f t="shared" si="4"/>
        <v>-0.47456202026737232</v>
      </c>
      <c r="X29" s="165"/>
      <c r="Y29" s="166"/>
      <c r="Z29" s="166"/>
      <c r="AA29" s="164"/>
      <c r="AB29" s="164"/>
      <c r="AC29" s="164"/>
      <c r="AD29" s="164"/>
    </row>
    <row r="30" spans="1:33" ht="20.100000000000001" customHeight="1" x14ac:dyDescent="0.25">
      <c r="A30" s="176"/>
      <c r="B30" s="173">
        <v>42272</v>
      </c>
      <c r="C30" s="204">
        <v>1931.34</v>
      </c>
      <c r="D30" s="172">
        <f t="shared" si="5"/>
        <v>-4.6578064836670961E-4</v>
      </c>
      <c r="E30" s="205">
        <f t="shared" si="6"/>
        <v>-8.1381632769544021E-2</v>
      </c>
      <c r="F30" s="220">
        <v>4686.5</v>
      </c>
      <c r="G30" s="172">
        <f t="shared" si="2"/>
        <v>-1.0134164681232061E-2</v>
      </c>
      <c r="H30" s="205">
        <f t="shared" si="7"/>
        <v>-7.9580493744721773E-2</v>
      </c>
      <c r="I30" s="223">
        <v>320711.92</v>
      </c>
      <c r="J30" s="174">
        <v>390000</v>
      </c>
      <c r="K30" s="174">
        <f t="shared" si="10"/>
        <v>-2734.2399999999907</v>
      </c>
      <c r="L30" s="172">
        <f t="shared" si="8"/>
        <v>-8.4534625484500754E-3</v>
      </c>
      <c r="M30" s="175">
        <f t="shared" ref="M30:M61" si="11">I30-J30</f>
        <v>-69288.080000000016</v>
      </c>
      <c r="N30" s="186">
        <f t="shared" ref="N30:N61" si="12">M30/J30</f>
        <v>-0.17766174358974363</v>
      </c>
      <c r="O30" s="175" t="b">
        <f t="shared" si="9"/>
        <v>0</v>
      </c>
      <c r="P30" s="186">
        <f>COUNTIF(O$2:O30, TRUE)/(COUNTIF(O$2:O30,FALSE) + COUNTIF(O$2:O30, TRUE))</f>
        <v>0.41379310344827586</v>
      </c>
      <c r="Q30" s="340"/>
      <c r="R30" s="340"/>
      <c r="S30" s="340"/>
      <c r="T30" s="340"/>
      <c r="U30" s="186">
        <f>STDEV(D$2:D30)*SQRT(252)</f>
        <v>0.27752195461786261</v>
      </c>
      <c r="V30" s="186">
        <f>STDEV(L$2:L30)*SQRT(252)</f>
        <v>0.35323644241397795</v>
      </c>
      <c r="W30" s="175">
        <f t="shared" si="4"/>
        <v>-0.50295417532693776</v>
      </c>
      <c r="X30" s="165"/>
      <c r="Y30" s="166"/>
      <c r="Z30" s="166"/>
      <c r="AA30" s="164"/>
      <c r="AB30" s="164"/>
      <c r="AC30" s="164"/>
      <c r="AD30" s="164"/>
    </row>
    <row r="31" spans="1:33" ht="20.100000000000001" customHeight="1" x14ac:dyDescent="0.25">
      <c r="A31" s="176"/>
      <c r="B31" s="168">
        <v>42275</v>
      </c>
      <c r="C31" s="202">
        <v>1881.77</v>
      </c>
      <c r="D31" s="172">
        <f t="shared" si="5"/>
        <v>-2.5666117824929811E-2</v>
      </c>
      <c r="E31" s="203">
        <f t="shared" si="6"/>
        <v>-0.10495900001902554</v>
      </c>
      <c r="F31" s="219">
        <v>4543.97</v>
      </c>
      <c r="G31" s="172">
        <f t="shared" si="2"/>
        <v>-3.041288808279094E-2</v>
      </c>
      <c r="H31" s="203">
        <f t="shared" si="7"/>
        <v>-0.10757310917768124</v>
      </c>
      <c r="I31" s="222">
        <v>308867.92</v>
      </c>
      <c r="J31" s="170">
        <v>390000</v>
      </c>
      <c r="K31" s="170">
        <f t="shared" si="10"/>
        <v>-11844</v>
      </c>
      <c r="L31" s="172">
        <f t="shared" si="8"/>
        <v>-3.693033922780295E-2</v>
      </c>
      <c r="M31" s="169">
        <f t="shared" si="11"/>
        <v>-81132.080000000016</v>
      </c>
      <c r="N31" s="185">
        <f t="shared" si="12"/>
        <v>-0.20803097435897441</v>
      </c>
      <c r="O31" s="169" t="b">
        <f t="shared" si="9"/>
        <v>0</v>
      </c>
      <c r="P31" s="185">
        <f>COUNTIF(O$2:O31, TRUE)/(COUNTIF(O$2:O31,FALSE) + COUNTIF(O$2:O31, TRUE))</f>
        <v>0.4</v>
      </c>
      <c r="Q31" s="339"/>
      <c r="R31" s="339"/>
      <c r="S31" s="339"/>
      <c r="T31" s="339"/>
      <c r="U31" s="185">
        <f>STDEV(D$2:D31)*SQRT(252)</f>
        <v>0.28067725027853285</v>
      </c>
      <c r="V31" s="185">
        <f>STDEV(L$2:L31)*SQRT(252)</f>
        <v>0.36074758156117998</v>
      </c>
      <c r="W31" s="169">
        <f t="shared" si="4"/>
        <v>-0.57666630350976855</v>
      </c>
      <c r="X31" s="165"/>
      <c r="Y31" s="166"/>
      <c r="Z31" s="166"/>
      <c r="AA31" s="164"/>
      <c r="AB31" s="164"/>
      <c r="AC31" s="164"/>
      <c r="AD31" s="164"/>
    </row>
    <row r="32" spans="1:33" ht="20.100000000000001" customHeight="1" x14ac:dyDescent="0.25">
      <c r="A32" s="176"/>
      <c r="B32" s="168">
        <v>42276</v>
      </c>
      <c r="C32" s="202">
        <v>1884.09</v>
      </c>
      <c r="D32" s="172">
        <f t="shared" si="5"/>
        <v>1.2328818080849075E-3</v>
      </c>
      <c r="E32" s="203">
        <f t="shared" si="6"/>
        <v>-0.10385552025265887</v>
      </c>
      <c r="F32" s="219">
        <v>4517.32</v>
      </c>
      <c r="G32" s="172">
        <f t="shared" si="2"/>
        <v>-5.8649154813963439E-3</v>
      </c>
      <c r="H32" s="203">
        <f t="shared" si="7"/>
        <v>-0.11280711746567947</v>
      </c>
      <c r="I32" s="222">
        <v>312033</v>
      </c>
      <c r="J32" s="170">
        <v>390000</v>
      </c>
      <c r="K32" s="170">
        <f t="shared" si="10"/>
        <v>3165.0800000000163</v>
      </c>
      <c r="L32" s="172">
        <f t="shared" si="8"/>
        <v>1.0247357511262472E-2</v>
      </c>
      <c r="M32" s="169">
        <f t="shared" si="11"/>
        <v>-77967</v>
      </c>
      <c r="N32" s="185">
        <f t="shared" si="12"/>
        <v>-0.19991538461538461</v>
      </c>
      <c r="O32" s="169" t="b">
        <f t="shared" si="9"/>
        <v>1</v>
      </c>
      <c r="P32" s="185">
        <f>COUNTIF(O$2:O32, TRUE)/(COUNTIF(O$2:O32,FALSE) + COUNTIF(O$2:O32, TRUE))</f>
        <v>0.41935483870967744</v>
      </c>
      <c r="Q32" s="339"/>
      <c r="R32" s="339"/>
      <c r="S32" s="339"/>
      <c r="T32" s="339"/>
      <c r="U32" s="185">
        <f>STDEV(D$2:D32)*SQRT(252)</f>
        <v>0.27616064910345123</v>
      </c>
      <c r="V32" s="185">
        <f>STDEV(L$2:L32)*SQRT(252)</f>
        <v>0.35703191736213136</v>
      </c>
      <c r="W32" s="169">
        <f t="shared" si="4"/>
        <v>-0.55993701093287374</v>
      </c>
      <c r="X32" s="165"/>
      <c r="Y32" s="166"/>
      <c r="Z32" s="166"/>
      <c r="AA32" s="164"/>
      <c r="AB32" s="164"/>
      <c r="AC32" s="164"/>
      <c r="AD32" s="164"/>
    </row>
    <row r="33" spans="1:30" ht="20.100000000000001" customHeight="1" x14ac:dyDescent="0.25">
      <c r="A33" s="176"/>
      <c r="B33" s="168">
        <v>42277</v>
      </c>
      <c r="C33" s="202">
        <v>1920.03</v>
      </c>
      <c r="D33" s="172">
        <f t="shared" si="5"/>
        <v>1.9075521869974393E-2</v>
      </c>
      <c r="E33" s="203">
        <f t="shared" si="6"/>
        <v>-8.6761096630581652E-2</v>
      </c>
      <c r="F33" s="219">
        <v>4620.16</v>
      </c>
      <c r="G33" s="172">
        <f t="shared" si="2"/>
        <v>2.2765710642593431E-2</v>
      </c>
      <c r="H33" s="203">
        <f t="shared" si="7"/>
        <v>-9.2609541017734748E-2</v>
      </c>
      <c r="I33" s="485">
        <v>320653.48</v>
      </c>
      <c r="J33" s="170">
        <v>390000</v>
      </c>
      <c r="K33" s="170">
        <f t="shared" si="10"/>
        <v>8620.4799999999814</v>
      </c>
      <c r="L33" s="172">
        <f t="shared" si="8"/>
        <v>2.762682152208254E-2</v>
      </c>
      <c r="M33" s="169">
        <f t="shared" si="11"/>
        <v>-69346.520000000019</v>
      </c>
      <c r="N33" s="185">
        <f t="shared" si="12"/>
        <v>-0.17781158974358979</v>
      </c>
      <c r="O33" s="169" t="b">
        <f t="shared" si="9"/>
        <v>1</v>
      </c>
      <c r="P33" s="185">
        <f>COUNTIF(O$2:O33, TRUE)/(COUNTIF(O$2:O33,FALSE) + COUNTIF(O$2:O33, TRUE))</f>
        <v>0.4375</v>
      </c>
      <c r="Q33" s="339"/>
      <c r="R33" s="339"/>
      <c r="S33" s="339"/>
      <c r="T33" s="339"/>
      <c r="U33" s="185">
        <f>STDEV(D$2:D33)*SQRT(252)</f>
        <v>0.27904525871697899</v>
      </c>
      <c r="V33" s="185">
        <f>STDEV(L$2:L33)*SQRT(252)</f>
        <v>0.36241608593546876</v>
      </c>
      <c r="W33" s="169">
        <f t="shared" si="4"/>
        <v>-0.49062830443803934</v>
      </c>
      <c r="X33" s="165"/>
      <c r="Y33" s="166"/>
      <c r="Z33" s="166"/>
      <c r="AA33" s="164"/>
      <c r="AB33" s="164"/>
      <c r="AC33" s="164"/>
      <c r="AD33" s="164"/>
    </row>
    <row r="34" spans="1:30" ht="20.100000000000001" customHeight="1" x14ac:dyDescent="0.25">
      <c r="B34" s="168">
        <v>42278</v>
      </c>
      <c r="C34" s="202">
        <v>1923.82</v>
      </c>
      <c r="D34" s="172">
        <f t="shared" si="5"/>
        <v>1.9739274907162718E-3</v>
      </c>
      <c r="E34" s="203">
        <f t="shared" si="6"/>
        <v>-8.4958429253629175E-2</v>
      </c>
      <c r="F34" s="219">
        <v>4627.08</v>
      </c>
      <c r="G34" s="172">
        <f t="shared" si="2"/>
        <v>1.497783626541088E-3</v>
      </c>
      <c r="H34" s="203">
        <f t="shared" si="7"/>
        <v>-9.1250466445391504E-2</v>
      </c>
      <c r="I34" s="222">
        <v>321963.56</v>
      </c>
      <c r="J34" s="170">
        <v>390000</v>
      </c>
      <c r="K34" s="170">
        <f t="shared" si="10"/>
        <v>1310.0800000000163</v>
      </c>
      <c r="L34" s="172">
        <f t="shared" si="8"/>
        <v>4.0856565785595605E-3</v>
      </c>
      <c r="M34" s="169">
        <f t="shared" si="11"/>
        <v>-68036.44</v>
      </c>
      <c r="N34" s="185">
        <f t="shared" si="12"/>
        <v>-0.17445241025641026</v>
      </c>
      <c r="O34" s="169" t="b">
        <f t="shared" si="9"/>
        <v>1</v>
      </c>
      <c r="P34" s="185">
        <f>COUNTIF(O$2:O34, TRUE)/(COUNTIF(O$2:O34,FALSE) + COUNTIF(O$2:O34, TRUE))</f>
        <v>0.45454545454545453</v>
      </c>
      <c r="Q34" s="339"/>
      <c r="R34" s="339"/>
      <c r="S34" s="339"/>
      <c r="T34" s="339"/>
      <c r="U34" s="185">
        <f>STDEV(D$2:D34)*SQRT(252)</f>
        <v>0.27483074679675301</v>
      </c>
      <c r="V34" s="185">
        <f>STDEV(L$2:L34)*SQRT(252)</f>
        <v>0.35707118458821713</v>
      </c>
      <c r="W34" s="169">
        <f t="shared" si="4"/>
        <v>-0.48856479544153886</v>
      </c>
    </row>
    <row r="35" spans="1:30" ht="20.100000000000001" customHeight="1" x14ac:dyDescent="0.25">
      <c r="B35" s="168">
        <v>42279</v>
      </c>
      <c r="C35" s="202">
        <v>1951.36</v>
      </c>
      <c r="D35" s="172">
        <f t="shared" si="5"/>
        <v>1.4315268580220584E-2</v>
      </c>
      <c r="E35" s="203">
        <f t="shared" si="6"/>
        <v>-7.1859363406327953E-2</v>
      </c>
      <c r="F35" s="219">
        <v>4707.78</v>
      </c>
      <c r="G35" s="172">
        <f t="shared" si="2"/>
        <v>1.7440805000129633E-2</v>
      </c>
      <c r="H35" s="203">
        <f t="shared" si="7"/>
        <v>-7.5401143036706808E-2</v>
      </c>
      <c r="I35" s="222">
        <v>336327.01</v>
      </c>
      <c r="J35" s="170">
        <v>390000</v>
      </c>
      <c r="K35" s="170">
        <f t="shared" si="10"/>
        <v>14363.450000000012</v>
      </c>
      <c r="L35" s="172">
        <f t="shared" si="8"/>
        <v>4.4612036219254164E-2</v>
      </c>
      <c r="M35" s="169">
        <f t="shared" si="11"/>
        <v>-53672.989999999991</v>
      </c>
      <c r="N35" s="185">
        <f t="shared" si="12"/>
        <v>-0.13762305128205127</v>
      </c>
      <c r="O35" s="169" t="b">
        <f t="shared" si="9"/>
        <v>1</v>
      </c>
      <c r="P35" s="185">
        <f>COUNTIF(O$2:O35, TRUE)/(COUNTIF(O$2:O35,FALSE) + COUNTIF(O$2:O35, TRUE))</f>
        <v>0.47058823529411764</v>
      </c>
      <c r="Q35" s="339"/>
      <c r="R35" s="339"/>
      <c r="S35" s="339"/>
      <c r="T35" s="339"/>
      <c r="U35" s="185">
        <f>STDEV(D$2:D35)*SQRT(252)</f>
        <v>0.27452334333609368</v>
      </c>
      <c r="V35" s="185">
        <f>STDEV(L$2:L35)*SQRT(252)</f>
        <v>0.37502060427916972</v>
      </c>
      <c r="W35" s="169">
        <f t="shared" si="4"/>
        <v>-0.36697464009098302</v>
      </c>
    </row>
    <row r="36" spans="1:30" ht="20.100000000000001" customHeight="1" x14ac:dyDescent="0.25">
      <c r="B36" s="173">
        <v>42282</v>
      </c>
      <c r="C36" s="204">
        <v>1987.05</v>
      </c>
      <c r="D36" s="172">
        <f t="shared" si="5"/>
        <v>1.8289808133814395E-2</v>
      </c>
      <c r="E36" s="205">
        <f t="shared" si="6"/>
        <v>-5.4883849241833343E-2</v>
      </c>
      <c r="F36" s="220">
        <v>4781.26</v>
      </c>
      <c r="G36" s="172">
        <f t="shared" si="2"/>
        <v>1.5608205990934257E-2</v>
      </c>
      <c r="H36" s="205">
        <f t="shared" si="7"/>
        <v>-6.0969813618241372E-2</v>
      </c>
      <c r="I36" s="223">
        <v>348049.53</v>
      </c>
      <c r="J36" s="174">
        <v>390000</v>
      </c>
      <c r="K36" s="174">
        <f t="shared" si="10"/>
        <v>11722.520000000019</v>
      </c>
      <c r="L36" s="172">
        <f t="shared" si="8"/>
        <v>3.4854530416691835E-2</v>
      </c>
      <c r="M36" s="175">
        <f t="shared" si="11"/>
        <v>-41950.469999999972</v>
      </c>
      <c r="N36" s="186">
        <f t="shared" si="12"/>
        <v>-0.10756530769230763</v>
      </c>
      <c r="O36" s="175" t="b">
        <f t="shared" si="9"/>
        <v>1</v>
      </c>
      <c r="P36" s="186">
        <f>COUNTIF(O$2:O36, TRUE)/(COUNTIF(O$2:O36,FALSE) + COUNTIF(O$2:O36, TRUE))</f>
        <v>0.48571428571428571</v>
      </c>
      <c r="Q36" s="340"/>
      <c r="R36" s="340"/>
      <c r="S36" s="340"/>
      <c r="T36" s="340"/>
      <c r="U36" s="186">
        <f>STDEV(D$2:D36)*SQRT(252)</f>
        <v>0.27597887919090974</v>
      </c>
      <c r="V36" s="186">
        <f>STDEV(L$2:L36)*SQRT(252)</f>
        <v>0.38219304301343621</v>
      </c>
      <c r="W36" s="175">
        <f t="shared" si="4"/>
        <v>-0.28144234872565721</v>
      </c>
    </row>
    <row r="37" spans="1:30" ht="20.100000000000001" customHeight="1" x14ac:dyDescent="0.25">
      <c r="B37" s="173">
        <v>42283</v>
      </c>
      <c r="C37" s="204">
        <v>1979.92</v>
      </c>
      <c r="D37" s="172">
        <f t="shared" si="5"/>
        <v>-3.5882338139452364E-3</v>
      </c>
      <c r="E37" s="205">
        <f t="shared" si="6"/>
        <v>-5.8275146972089562E-2</v>
      </c>
      <c r="F37" s="220">
        <v>4748.3599999999997</v>
      </c>
      <c r="G37" s="172">
        <f t="shared" si="2"/>
        <v>-6.8810313599345242E-3</v>
      </c>
      <c r="H37" s="205">
        <f t="shared" si="7"/>
        <v>-6.7431309778659423E-2</v>
      </c>
      <c r="I37" s="223">
        <v>349442.62</v>
      </c>
      <c r="J37" s="174">
        <v>390000</v>
      </c>
      <c r="K37" s="174">
        <f t="shared" si="10"/>
        <v>1393.0899999999674</v>
      </c>
      <c r="L37" s="172">
        <f t="shared" si="8"/>
        <v>4.0025625088474254E-3</v>
      </c>
      <c r="M37" s="175">
        <f t="shared" si="11"/>
        <v>-40557.380000000005</v>
      </c>
      <c r="N37" s="186">
        <f t="shared" si="12"/>
        <v>-0.10399328205128207</v>
      </c>
      <c r="O37" s="175" t="b">
        <f t="shared" si="9"/>
        <v>1</v>
      </c>
      <c r="P37" s="186">
        <f>COUNTIF(O$2:O37, TRUE)/(COUNTIF(O$2:O37,FALSE) + COUNTIF(O$2:O37, TRUE))</f>
        <v>0.5</v>
      </c>
      <c r="Q37" s="340"/>
      <c r="R37" s="340"/>
      <c r="S37" s="340"/>
      <c r="T37" s="340"/>
      <c r="U37" s="186">
        <f>STDEV(D$2:D37)*SQRT(252)</f>
        <v>0.27194715501453054</v>
      </c>
      <c r="V37" s="186">
        <f>STDEV(L$2:L37)*SQRT(252)</f>
        <v>0.37670306697854899</v>
      </c>
      <c r="W37" s="175">
        <f t="shared" si="4"/>
        <v>-0.27606168138048071</v>
      </c>
    </row>
    <row r="38" spans="1:30" ht="20.100000000000001" customHeight="1" x14ac:dyDescent="0.25">
      <c r="B38" s="173">
        <v>42284</v>
      </c>
      <c r="C38" s="204">
        <v>1995.83</v>
      </c>
      <c r="D38" s="172">
        <f t="shared" si="5"/>
        <v>8.0356782092205013E-3</v>
      </c>
      <c r="E38" s="205">
        <f t="shared" si="6"/>
        <v>-5.0707749091531806E-2</v>
      </c>
      <c r="F38" s="220">
        <v>4791.1499999999996</v>
      </c>
      <c r="G38" s="172">
        <f t="shared" si="2"/>
        <v>9.0115324027664218E-3</v>
      </c>
      <c r="H38" s="205">
        <f t="shared" si="7"/>
        <v>-5.9027436808924368E-2</v>
      </c>
      <c r="I38" s="223">
        <v>351672.29</v>
      </c>
      <c r="J38" s="174">
        <v>390000</v>
      </c>
      <c r="K38" s="174">
        <f t="shared" si="10"/>
        <v>2229.6699999999837</v>
      </c>
      <c r="L38" s="172">
        <f t="shared" si="8"/>
        <v>6.3806469857625942E-3</v>
      </c>
      <c r="M38" s="175">
        <f t="shared" si="11"/>
        <v>-38327.710000000021</v>
      </c>
      <c r="N38" s="186">
        <f t="shared" si="12"/>
        <v>-9.8276179487179538E-2</v>
      </c>
      <c r="O38" s="175" t="b">
        <f t="shared" si="9"/>
        <v>0</v>
      </c>
      <c r="P38" s="186">
        <f>COUNTIF(O$2:O38, TRUE)/(COUNTIF(O$2:O38,FALSE) + COUNTIF(O$2:O38, TRUE))</f>
        <v>0.48648648648648651</v>
      </c>
      <c r="Q38" s="340"/>
      <c r="R38" s="340"/>
      <c r="S38" s="340"/>
      <c r="T38" s="340"/>
      <c r="U38" s="186">
        <f>STDEV(D$2:D38)*SQRT(252)</f>
        <v>0.26923649970087526</v>
      </c>
      <c r="V38" s="186">
        <f>STDEV(L$2:L38)*SQRT(252)</f>
        <v>0.37168118749449619</v>
      </c>
      <c r="W38" s="175">
        <f t="shared" si="4"/>
        <v>-0.26440988350704403</v>
      </c>
    </row>
    <row r="39" spans="1:30" ht="20.100000000000001" customHeight="1" x14ac:dyDescent="0.25">
      <c r="B39" s="173">
        <v>42285</v>
      </c>
      <c r="C39" s="204">
        <v>2013.43</v>
      </c>
      <c r="D39" s="172">
        <f t="shared" si="5"/>
        <v>8.8183863355096054E-3</v>
      </c>
      <c r="E39" s="205">
        <f t="shared" si="6"/>
        <v>-4.2336523277715414E-2</v>
      </c>
      <c r="F39" s="220">
        <v>4810.79</v>
      </c>
      <c r="G39" s="172">
        <f t="shared" si="2"/>
        <v>4.0992246120451934E-3</v>
      </c>
      <c r="H39" s="205">
        <f t="shared" si="7"/>
        <v>-5.5170178918632254E-2</v>
      </c>
      <c r="I39" s="223">
        <v>354527.57</v>
      </c>
      <c r="J39" s="174">
        <v>390000</v>
      </c>
      <c r="K39" s="174">
        <f t="shared" si="10"/>
        <v>2855.2800000000279</v>
      </c>
      <c r="L39" s="172">
        <f t="shared" si="8"/>
        <v>8.119149791415264E-3</v>
      </c>
      <c r="M39" s="175">
        <f t="shared" si="11"/>
        <v>-35472.429999999993</v>
      </c>
      <c r="N39" s="186">
        <f t="shared" si="12"/>
        <v>-9.0954948717948694E-2</v>
      </c>
      <c r="O39" s="175" t="b">
        <f t="shared" si="9"/>
        <v>0</v>
      </c>
      <c r="P39" s="186">
        <f>COUNTIF(O$2:O39, TRUE)/(COUNTIF(O$2:O39,FALSE) + COUNTIF(O$2:O39, TRUE))</f>
        <v>0.47368421052631576</v>
      </c>
      <c r="Q39" s="340"/>
      <c r="R39" s="340"/>
      <c r="S39" s="340"/>
      <c r="T39" s="340"/>
      <c r="U39" s="186">
        <f>STDEV(D$2:D39)*SQRT(252)</f>
        <v>0.26678199068533232</v>
      </c>
      <c r="V39" s="186">
        <f>STDEV(L$2:L39)*SQRT(252)</f>
        <v>0.36708606132795213</v>
      </c>
      <c r="W39" s="175">
        <f t="shared" si="4"/>
        <v>-0.24777554448380479</v>
      </c>
    </row>
    <row r="40" spans="1:30" ht="20.100000000000001" customHeight="1" x14ac:dyDescent="0.25">
      <c r="B40" s="173">
        <v>42286</v>
      </c>
      <c r="C40" s="204">
        <v>2014.89</v>
      </c>
      <c r="D40" s="172">
        <f t="shared" si="5"/>
        <v>7.2513074703368691E-4</v>
      </c>
      <c r="E40" s="205">
        <f t="shared" si="6"/>
        <v>-4.1642092045432906E-2</v>
      </c>
      <c r="F40" s="220">
        <v>4830.47</v>
      </c>
      <c r="G40" s="172">
        <f t="shared" si="2"/>
        <v>4.0908042130295211E-3</v>
      </c>
      <c r="H40" s="205">
        <f t="shared" si="7"/>
        <v>-5.1305065105956671E-2</v>
      </c>
      <c r="I40" s="223">
        <v>351691.92</v>
      </c>
      <c r="J40" s="174">
        <v>390000</v>
      </c>
      <c r="K40" s="174">
        <f t="shared" si="10"/>
        <v>-2835.6500000000233</v>
      </c>
      <c r="L40" s="172">
        <f t="shared" si="8"/>
        <v>-7.9983906470236527E-3</v>
      </c>
      <c r="M40" s="243">
        <f t="shared" si="11"/>
        <v>-38308.080000000016</v>
      </c>
      <c r="N40" s="186">
        <f t="shared" si="12"/>
        <v>-9.8225846153846191E-2</v>
      </c>
      <c r="O40" s="243" t="b">
        <f t="shared" si="9"/>
        <v>0</v>
      </c>
      <c r="P40" s="186">
        <f>COUNTIF(O$2:O40, TRUE)/(COUNTIF(O$2:O40,FALSE) + COUNTIF(O$2:O40, TRUE))</f>
        <v>0.46153846153846156</v>
      </c>
      <c r="Q40" s="340"/>
      <c r="R40" s="340"/>
      <c r="S40" s="340"/>
      <c r="T40" s="340"/>
      <c r="U40" s="186">
        <f>STDEV(D$2:D40)*SQRT(252)</f>
        <v>0.26319098013674441</v>
      </c>
      <c r="V40" s="186">
        <f>STDEV(L$2:L40)*SQRT(252)</f>
        <v>0.36271772022566956</v>
      </c>
      <c r="W40" s="243">
        <f t="shared" si="4"/>
        <v>-0.27080520381726514</v>
      </c>
    </row>
    <row r="41" spans="1:30" ht="20.100000000000001" customHeight="1" x14ac:dyDescent="0.25">
      <c r="B41" s="168">
        <v>42289</v>
      </c>
      <c r="C41" s="200">
        <v>2017.46</v>
      </c>
      <c r="D41" s="172">
        <f t="shared" si="5"/>
        <v>1.2755038736605652E-3</v>
      </c>
      <c r="E41" s="201">
        <f t="shared" si="6"/>
        <v>-4.0419702821483619E-2</v>
      </c>
      <c r="F41" s="218">
        <v>4838.6400000000003</v>
      </c>
      <c r="G41" s="172">
        <f t="shared" si="2"/>
        <v>1.6913468047622844E-3</v>
      </c>
      <c r="H41" s="203">
        <f t="shared" si="7"/>
        <v>-4.9700492959129462E-2</v>
      </c>
      <c r="I41" s="222">
        <v>348866.78</v>
      </c>
      <c r="J41" s="170">
        <v>390000</v>
      </c>
      <c r="K41" s="170">
        <f t="shared" si="10"/>
        <v>-2825.1399999999558</v>
      </c>
      <c r="L41" s="172">
        <f t="shared" si="8"/>
        <v>-8.0329966068027839E-3</v>
      </c>
      <c r="M41" s="177">
        <f t="shared" si="11"/>
        <v>-41133.219999999972</v>
      </c>
      <c r="N41" s="185">
        <f t="shared" si="12"/>
        <v>-0.10546979487179479</v>
      </c>
      <c r="O41" s="177" t="b">
        <f t="shared" si="9"/>
        <v>0</v>
      </c>
      <c r="P41" s="185">
        <f>COUNTIF(O$2:O41, TRUE)/(COUNTIF(O$2:O41,FALSE) + COUNTIF(O$2:O41, TRUE))</f>
        <v>0.45</v>
      </c>
      <c r="Q41" s="339"/>
      <c r="R41" s="339"/>
      <c r="S41" s="339"/>
      <c r="T41" s="339"/>
      <c r="U41" s="185">
        <f>STDEV(D$2:D41)*SQRT(252)</f>
        <v>0.25976838750277326</v>
      </c>
      <c r="V41" s="185">
        <f>STDEV(L$2:L41)*SQRT(252)</f>
        <v>0.35850362464103236</v>
      </c>
      <c r="W41" s="177">
        <f t="shared" si="4"/>
        <v>-0.2941945007596537</v>
      </c>
    </row>
    <row r="42" spans="1:30" ht="20.100000000000001" customHeight="1" x14ac:dyDescent="0.25">
      <c r="B42" s="168">
        <v>42290</v>
      </c>
      <c r="C42" s="200">
        <v>2003.69</v>
      </c>
      <c r="D42" s="172">
        <f t="shared" si="5"/>
        <v>-6.8254141346048899E-3</v>
      </c>
      <c r="E42" s="201">
        <f t="shared" si="6"/>
        <v>-4.6969235745134223E-2</v>
      </c>
      <c r="F42" s="218">
        <v>4796.6099999999997</v>
      </c>
      <c r="G42" s="172">
        <f t="shared" si="2"/>
        <v>-8.6863250830813317E-3</v>
      </c>
      <c r="H42" s="203">
        <f t="shared" si="7"/>
        <v>-5.7955103403578401E-2</v>
      </c>
      <c r="I42" s="222">
        <v>347508.59</v>
      </c>
      <c r="J42" s="170">
        <v>390000</v>
      </c>
      <c r="K42" s="170">
        <f t="shared" si="10"/>
        <v>-1358.1900000000023</v>
      </c>
      <c r="L42" s="172">
        <f t="shared" si="8"/>
        <v>-3.8931479804411363E-3</v>
      </c>
      <c r="M42" s="177">
        <f t="shared" si="11"/>
        <v>-42491.409999999974</v>
      </c>
      <c r="N42" s="185">
        <f t="shared" si="12"/>
        <v>-0.10895233333333326</v>
      </c>
      <c r="O42" s="177" t="b">
        <f t="shared" si="9"/>
        <v>1</v>
      </c>
      <c r="P42" s="185">
        <f>COUNTIF(O$2:O42, TRUE)/(COUNTIF(O$2:O42,FALSE) + COUNTIF(O$2:O42, TRUE))</f>
        <v>0.46341463414634149</v>
      </c>
      <c r="Q42" s="339"/>
      <c r="R42" s="339"/>
      <c r="S42" s="339"/>
      <c r="T42" s="339"/>
      <c r="U42" s="185">
        <f>STDEV(D$2:D42)*SQRT(252)</f>
        <v>0.2568435001245859</v>
      </c>
      <c r="V42" s="185">
        <f>STDEV(L$2:L42)*SQRT(252)</f>
        <v>0.35400225993009587</v>
      </c>
      <c r="W42" s="177">
        <f t="shared" si="4"/>
        <v>-0.30777298810139764</v>
      </c>
    </row>
    <row r="43" spans="1:30" ht="20.100000000000001" customHeight="1" x14ac:dyDescent="0.25">
      <c r="B43" s="168">
        <v>42291</v>
      </c>
      <c r="C43" s="206">
        <v>1994.24</v>
      </c>
      <c r="D43" s="172">
        <f t="shared" si="5"/>
        <v>-4.7162984293977837E-3</v>
      </c>
      <c r="E43" s="201">
        <f t="shared" si="6"/>
        <v>-5.1464013241757214E-2</v>
      </c>
      <c r="F43" s="218">
        <v>4782.8500000000004</v>
      </c>
      <c r="G43" s="172">
        <f t="shared" si="2"/>
        <v>-2.8686926808723888E-3</v>
      </c>
      <c r="H43" s="203">
        <f t="shared" si="7"/>
        <v>-6.0657540703497742E-2</v>
      </c>
      <c r="I43" s="222">
        <v>350349.65</v>
      </c>
      <c r="J43" s="170">
        <v>390000</v>
      </c>
      <c r="K43" s="170">
        <f t="shared" si="10"/>
        <v>2841.0599999999977</v>
      </c>
      <c r="L43" s="172">
        <f t="shared" si="8"/>
        <v>8.1755101363105796E-3</v>
      </c>
      <c r="M43" s="177">
        <f t="shared" si="11"/>
        <v>-39650.349999999977</v>
      </c>
      <c r="N43" s="185">
        <f t="shared" si="12"/>
        <v>-0.10166756410256404</v>
      </c>
      <c r="O43" s="177" t="b">
        <f t="shared" si="9"/>
        <v>1</v>
      </c>
      <c r="P43" s="185">
        <f>COUNTIF(O$2:O43, TRUE)/(COUNTIF(O$2:O43,FALSE) + COUNTIF(O$2:O43, TRUE))</f>
        <v>0.47619047619047616</v>
      </c>
      <c r="Q43" s="339"/>
      <c r="R43" s="339"/>
      <c r="S43" s="339"/>
      <c r="T43" s="339"/>
      <c r="U43" s="185">
        <f>STDEV(D$2:D43)*SQRT(252)</f>
        <v>0.25377333453127793</v>
      </c>
      <c r="V43" s="185">
        <f>STDEV(L$2:L43)*SQRT(252)</f>
        <v>0.35017187352757795</v>
      </c>
      <c r="W43" s="177">
        <f t="shared" si="4"/>
        <v>-0.29033617999749817</v>
      </c>
    </row>
    <row r="44" spans="1:30" ht="20.100000000000001" customHeight="1" x14ac:dyDescent="0.25">
      <c r="B44" s="168">
        <v>42292</v>
      </c>
      <c r="C44" s="206">
        <v>2023.86</v>
      </c>
      <c r="D44" s="172">
        <f t="shared" si="5"/>
        <v>1.4852775994865158E-2</v>
      </c>
      <c r="E44" s="201">
        <f>(C44-$C$2)/$C$2</f>
        <v>-3.7375620707368655E-2</v>
      </c>
      <c r="F44" s="218">
        <v>4870.1000000000004</v>
      </c>
      <c r="G44" s="172">
        <f t="shared" si="2"/>
        <v>1.8242261413174154E-2</v>
      </c>
      <c r="H44" s="203">
        <f t="shared" si="7"/>
        <v>-4.3521810004517048E-2</v>
      </c>
      <c r="I44" s="222">
        <v>353686.58</v>
      </c>
      <c r="J44" s="170">
        <v>390000</v>
      </c>
      <c r="K44" s="170">
        <f t="shared" si="10"/>
        <v>3336.929999999993</v>
      </c>
      <c r="L44" s="172">
        <f t="shared" si="8"/>
        <v>9.5245706681881745E-3</v>
      </c>
      <c r="M44" s="177">
        <f t="shared" si="11"/>
        <v>-36313.419999999984</v>
      </c>
      <c r="N44" s="185">
        <f t="shared" si="12"/>
        <v>-9.3111333333333296E-2</v>
      </c>
      <c r="O44" s="177" t="b">
        <f t="shared" si="9"/>
        <v>0</v>
      </c>
      <c r="P44" s="185">
        <f>COUNTIF(O$2:O44, TRUE)/(COUNTIF(O$2:O44,FALSE) + COUNTIF(O$2:O44, TRUE))</f>
        <v>0.46511627906976744</v>
      </c>
      <c r="Q44" s="339"/>
      <c r="R44" s="339"/>
      <c r="S44" s="339"/>
      <c r="T44" s="339"/>
      <c r="U44" s="185">
        <f>STDEV(D$2:D44)*SQRT(252)</f>
        <v>0.25371078720500778</v>
      </c>
      <c r="V44" s="185">
        <f>STDEV(L$2:L44)*SQRT(252)</f>
        <v>0.34666743153233776</v>
      </c>
      <c r="W44" s="177">
        <f t="shared" si="4"/>
        <v>-0.26858979201410127</v>
      </c>
    </row>
    <row r="45" spans="1:30" ht="20.100000000000001" customHeight="1" x14ac:dyDescent="0.25">
      <c r="B45" s="168">
        <v>42293</v>
      </c>
      <c r="C45" s="206">
        <v>2033.11</v>
      </c>
      <c r="D45" s="172">
        <f t="shared" si="5"/>
        <v>4.5704742422894868E-3</v>
      </c>
      <c r="E45" s="201">
        <f t="shared" ref="E45:E53" si="13">(C45-$C$2)/$C$2</f>
        <v>-3.2975970776811775E-2</v>
      </c>
      <c r="F45" s="218">
        <v>4886.6899999999996</v>
      </c>
      <c r="G45" s="172">
        <f t="shared" si="2"/>
        <v>3.4065008932053211E-3</v>
      </c>
      <c r="H45" s="203">
        <f t="shared" si="7"/>
        <v>-4.0263566195966029E-2</v>
      </c>
      <c r="I45" s="222">
        <v>351968.34</v>
      </c>
      <c r="J45" s="170">
        <v>390000</v>
      </c>
      <c r="K45" s="170">
        <f t="shared" si="10"/>
        <v>-1718.2399999999907</v>
      </c>
      <c r="L45" s="172">
        <f t="shared" si="8"/>
        <v>-4.8580865013311799E-3</v>
      </c>
      <c r="M45" s="177">
        <f t="shared" si="11"/>
        <v>-38031.659999999974</v>
      </c>
      <c r="N45" s="185">
        <f t="shared" si="12"/>
        <v>-9.7517076923076859E-2</v>
      </c>
      <c r="O45" s="177" t="b">
        <f t="shared" si="9"/>
        <v>0</v>
      </c>
      <c r="P45" s="185">
        <f>COUNTIF(O$2:O45, TRUE)/(COUNTIF(O$2:O45,FALSE) + COUNTIF(O$2:O45, TRUE))</f>
        <v>0.45454545454545453</v>
      </c>
      <c r="Q45" s="339"/>
      <c r="R45" s="339"/>
      <c r="S45" s="339"/>
      <c r="T45" s="339"/>
      <c r="U45" s="185">
        <f>STDEV(D$2:D45)*SQRT(252)</f>
        <v>0.25100684114352073</v>
      </c>
      <c r="V45" s="185">
        <f>STDEV(L$2:L45)*SQRT(252)</f>
        <v>0.34273345139982825</v>
      </c>
      <c r="W45" s="177">
        <f t="shared" si="4"/>
        <v>-0.28452745573794236</v>
      </c>
    </row>
    <row r="46" spans="1:30" ht="20.100000000000001" customHeight="1" x14ac:dyDescent="0.25">
      <c r="B46" s="183">
        <v>42296</v>
      </c>
      <c r="C46" s="207">
        <v>2033.66</v>
      </c>
      <c r="D46" s="172">
        <f t="shared" si="5"/>
        <v>2.7052151629778119E-4</v>
      </c>
      <c r="E46" s="208">
        <f t="shared" si="13"/>
        <v>-3.2714369970129928E-2</v>
      </c>
      <c r="F46" s="221">
        <v>4905.47</v>
      </c>
      <c r="G46" s="172">
        <f t="shared" si="2"/>
        <v>3.843092154403217E-3</v>
      </c>
      <c r="H46" s="205">
        <f t="shared" si="7"/>
        <v>-3.657521063691882E-2</v>
      </c>
      <c r="I46" s="223">
        <v>353616.79</v>
      </c>
      <c r="J46" s="174">
        <v>390000</v>
      </c>
      <c r="K46" s="174">
        <f t="shared" si="10"/>
        <v>1648.4499999999534</v>
      </c>
      <c r="L46" s="172">
        <f t="shared" si="8"/>
        <v>4.6835178414057167E-3</v>
      </c>
      <c r="M46" s="184">
        <f t="shared" si="11"/>
        <v>-36383.210000000021</v>
      </c>
      <c r="N46" s="186">
        <f t="shared" si="12"/>
        <v>-9.3290282051282106E-2</v>
      </c>
      <c r="O46" s="184" t="b">
        <f t="shared" si="9"/>
        <v>1</v>
      </c>
      <c r="P46" s="186">
        <f>COUNTIF(O$2:O46, TRUE)/(COUNTIF(O$2:O46,FALSE) + COUNTIF(O$2:O46, TRUE))</f>
        <v>0.46666666666666667</v>
      </c>
      <c r="Q46" s="340"/>
      <c r="R46" s="340"/>
      <c r="S46" s="340"/>
      <c r="T46" s="340"/>
      <c r="U46" s="186">
        <f>STDEV(D$2:D46)*SQRT(252)</f>
        <v>0.24808092074482793</v>
      </c>
      <c r="V46" s="186">
        <f>STDEV(L$2:L46)*SQRT(252)</f>
        <v>0.33890448472804552</v>
      </c>
      <c r="W46" s="184">
        <f t="shared" si="4"/>
        <v>-0.27527013142402956</v>
      </c>
    </row>
    <row r="47" spans="1:30" ht="20.100000000000001" customHeight="1" x14ac:dyDescent="0.25">
      <c r="B47" s="183">
        <v>42297</v>
      </c>
      <c r="C47" s="207">
        <v>2030.77</v>
      </c>
      <c r="D47" s="172">
        <f t="shared" si="5"/>
        <v>-1.4210831702448296E-3</v>
      </c>
      <c r="E47" s="208">
        <f t="shared" si="13"/>
        <v>-3.4088963299785044E-2</v>
      </c>
      <c r="F47" s="221">
        <v>4880.97</v>
      </c>
      <c r="G47" s="172">
        <f t="shared" si="2"/>
        <v>-4.9944245913235629E-3</v>
      </c>
      <c r="H47" s="205">
        <f t="shared" si="7"/>
        <v>-4.1386963096804522E-2</v>
      </c>
      <c r="I47" s="223">
        <v>352193</v>
      </c>
      <c r="J47" s="174">
        <v>395000</v>
      </c>
      <c r="K47" s="174">
        <f t="shared" si="10"/>
        <v>-6423.789999999979</v>
      </c>
      <c r="L47" s="172">
        <f t="shared" si="8"/>
        <v>-1.8165964348016334E-2</v>
      </c>
      <c r="M47" s="184">
        <f t="shared" si="11"/>
        <v>-42807</v>
      </c>
      <c r="N47" s="186">
        <f t="shared" si="12"/>
        <v>-0.10837215189873417</v>
      </c>
      <c r="O47" s="184" t="b">
        <f t="shared" si="9"/>
        <v>0</v>
      </c>
      <c r="P47" s="186">
        <f>COUNTIF(O$2:O47, TRUE)/(COUNTIF(O$2:O47,FALSE) + COUNTIF(O$2:O47, TRUE))</f>
        <v>0.45652173913043476</v>
      </c>
      <c r="Q47" s="340"/>
      <c r="R47" s="340"/>
      <c r="S47" s="340"/>
      <c r="T47" s="340"/>
      <c r="U47" s="186">
        <f>STDEV(D$2:D47)*SQRT(252)</f>
        <v>0.24525265348900513</v>
      </c>
      <c r="V47" s="186">
        <f>STDEV(L$2:L47)*SQRT(252)</f>
        <v>0.33783134123152347</v>
      </c>
      <c r="W47" s="184">
        <f t="shared" si="4"/>
        <v>-0.32078773835392699</v>
      </c>
    </row>
    <row r="48" spans="1:30" ht="20.100000000000001" customHeight="1" x14ac:dyDescent="0.25">
      <c r="B48" s="183">
        <v>42298</v>
      </c>
      <c r="C48" s="207">
        <v>2018.94</v>
      </c>
      <c r="D48" s="172">
        <f t="shared" si="5"/>
        <v>-5.8253765812967141E-3</v>
      </c>
      <c r="E48" s="208">
        <f t="shared" si="13"/>
        <v>-3.9715758832594511E-2</v>
      </c>
      <c r="F48" s="221">
        <v>4840.12</v>
      </c>
      <c r="G48" s="172">
        <f t="shared" si="2"/>
        <v>-8.3692380817748033E-3</v>
      </c>
      <c r="H48" s="205">
        <f t="shared" si="7"/>
        <v>-4.9409823830940537E-2</v>
      </c>
      <c r="I48" s="223">
        <v>350311.35</v>
      </c>
      <c r="J48" s="174">
        <v>400000</v>
      </c>
      <c r="K48" s="174">
        <f t="shared" si="10"/>
        <v>-6881.6500000000233</v>
      </c>
      <c r="L48" s="172">
        <f t="shared" si="8"/>
        <v>-1.9539428665532883E-2</v>
      </c>
      <c r="M48" s="184">
        <f t="shared" si="11"/>
        <v>-49688.650000000023</v>
      </c>
      <c r="N48" s="186">
        <f t="shared" si="12"/>
        <v>-0.12422162500000006</v>
      </c>
      <c r="O48" s="184" t="b">
        <f t="shared" si="9"/>
        <v>0</v>
      </c>
      <c r="P48" s="186">
        <f>COUNTIF(O$2:O48, TRUE)/(COUNTIF(O$2:O48,FALSE) + COUNTIF(O$2:O48, TRUE))</f>
        <v>0.44680851063829785</v>
      </c>
      <c r="Q48" s="340"/>
      <c r="R48" s="340"/>
      <c r="S48" s="340"/>
      <c r="T48" s="340"/>
      <c r="U48" s="186">
        <f>STDEV(D$2:D48)*SQRT(252)</f>
        <v>0.24281424638505256</v>
      </c>
      <c r="V48" s="186">
        <f>STDEV(L$2:L48)*SQRT(252)</f>
        <v>0.33709966873657005</v>
      </c>
      <c r="W48" s="184">
        <f t="shared" si="4"/>
        <v>-0.36850117790259329</v>
      </c>
    </row>
    <row r="49" spans="2:24" ht="20.100000000000001" customHeight="1" x14ac:dyDescent="0.25">
      <c r="B49" s="183">
        <v>42299</v>
      </c>
      <c r="C49" s="207">
        <v>2052.5100000000002</v>
      </c>
      <c r="D49" s="172">
        <f t="shared" si="5"/>
        <v>1.6627537222502979E-2</v>
      </c>
      <c r="E49" s="208">
        <f t="shared" si="13"/>
        <v>-2.3748596868400446E-2</v>
      </c>
      <c r="F49" s="221">
        <v>4920.05</v>
      </c>
      <c r="G49" s="172">
        <f t="shared" si="2"/>
        <v>1.6514053370577649E-2</v>
      </c>
      <c r="H49" s="205">
        <f t="shared" si="7"/>
        <v>-3.3711726928137876E-2</v>
      </c>
      <c r="I49" s="223">
        <v>353557.89</v>
      </c>
      <c r="J49" s="174">
        <v>400000</v>
      </c>
      <c r="K49" s="174">
        <f t="shared" si="10"/>
        <v>3246.5400000000373</v>
      </c>
      <c r="L49" s="172">
        <f t="shared" si="8"/>
        <v>9.2675843931406664E-3</v>
      </c>
      <c r="M49" s="184">
        <f t="shared" si="11"/>
        <v>-46442.109999999986</v>
      </c>
      <c r="N49" s="186">
        <f t="shared" si="12"/>
        <v>-0.11610527499999997</v>
      </c>
      <c r="O49" s="184" t="b">
        <f t="shared" si="9"/>
        <v>0</v>
      </c>
      <c r="P49" s="186">
        <f>COUNTIF(O$2:O49, TRUE)/(COUNTIF(O$2:O49,FALSE) + COUNTIF(O$2:O49, TRUE))</f>
        <v>0.4375</v>
      </c>
      <c r="Q49" s="340"/>
      <c r="R49" s="340"/>
      <c r="S49" s="340"/>
      <c r="T49" s="340"/>
      <c r="U49" s="186">
        <f>STDEV(D$2:D49)*SQRT(252)</f>
        <v>0.24351413133026822</v>
      </c>
      <c r="V49" s="186">
        <f>STDEV(L$2:L49)*SQRT(252)</f>
        <v>0.33420544036824928</v>
      </c>
      <c r="W49" s="184">
        <f t="shared" si="4"/>
        <v>-0.34740689700343486</v>
      </c>
    </row>
    <row r="50" spans="2:24" ht="20.100000000000001" customHeight="1" x14ac:dyDescent="0.25">
      <c r="B50" s="183">
        <v>42300</v>
      </c>
      <c r="C50" s="207">
        <v>2075.15</v>
      </c>
      <c r="D50" s="172">
        <f t="shared" si="5"/>
        <v>1.103039692863853E-2</v>
      </c>
      <c r="E50" s="208">
        <f t="shared" si="13"/>
        <v>-1.2980156389718596E-2</v>
      </c>
      <c r="F50" s="221">
        <v>5031.8599999999997</v>
      </c>
      <c r="G50" s="172">
        <f t="shared" si="2"/>
        <v>2.2725378807125839E-2</v>
      </c>
      <c r="H50" s="205">
        <f t="shared" si="7"/>
        <v>-1.1752459885696358E-2</v>
      </c>
      <c r="I50" s="223">
        <v>354948.58</v>
      </c>
      <c r="J50" s="174">
        <v>400000</v>
      </c>
      <c r="K50" s="174">
        <f t="shared" ref="K50:K55" si="14">I50-I49-J50+J49</f>
        <v>1390.6900000000023</v>
      </c>
      <c r="L50" s="172">
        <f t="shared" si="8"/>
        <v>3.93341526051081E-3</v>
      </c>
      <c r="M50" s="184">
        <f t="shared" si="11"/>
        <v>-45051.419999999984</v>
      </c>
      <c r="N50" s="186">
        <f t="shared" si="12"/>
        <v>-0.11262854999999997</v>
      </c>
      <c r="O50" s="184" t="b">
        <f t="shared" si="9"/>
        <v>0</v>
      </c>
      <c r="P50" s="186">
        <f>COUNTIF(O$2:O50, TRUE)/(COUNTIF(O$2:O50,FALSE) + COUNTIF(O$2:O50, TRUE))</f>
        <v>0.42857142857142855</v>
      </c>
      <c r="Q50" s="340"/>
      <c r="R50" s="340"/>
      <c r="S50" s="340"/>
      <c r="T50" s="340"/>
      <c r="U50" s="186">
        <f>STDEV(D$2:D50)*SQRT(252)</f>
        <v>0.2423280462112376</v>
      </c>
      <c r="V50" s="186">
        <f>STDEV(L$2:L50)*SQRT(252)</f>
        <v>0.33078274353135961</v>
      </c>
      <c r="W50" s="184">
        <f t="shared" si="4"/>
        <v>-0.34049100868323351</v>
      </c>
    </row>
    <row r="51" spans="2:24" ht="20.100000000000001" customHeight="1" x14ac:dyDescent="0.25">
      <c r="B51" s="168">
        <v>42303</v>
      </c>
      <c r="C51" s="200">
        <v>2071.1799999999998</v>
      </c>
      <c r="D51" s="172">
        <f t="shared" si="5"/>
        <v>-1.9131147145990672E-3</v>
      </c>
      <c r="E51" s="201">
        <f t="shared" si="13"/>
        <v>-1.4868438576130695E-2</v>
      </c>
      <c r="F51" s="218">
        <v>5034.7</v>
      </c>
      <c r="G51" s="172">
        <f t="shared" si="2"/>
        <v>5.644036201325446E-4</v>
      </c>
      <c r="H51" s="203">
        <f t="shared" si="7"/>
        <v>-1.1194689396468763E-2</v>
      </c>
      <c r="I51" s="222">
        <v>346950.72</v>
      </c>
      <c r="J51" s="170">
        <v>400000</v>
      </c>
      <c r="K51" s="170">
        <f t="shared" si="14"/>
        <v>-7997.8600000000442</v>
      </c>
      <c r="L51" s="172">
        <f t="shared" si="8"/>
        <v>-2.2532446812437011E-2</v>
      </c>
      <c r="M51" s="177">
        <f t="shared" si="11"/>
        <v>-53049.280000000028</v>
      </c>
      <c r="N51" s="185">
        <f t="shared" si="12"/>
        <v>-0.13262320000000008</v>
      </c>
      <c r="O51" s="177" t="b">
        <f t="shared" si="9"/>
        <v>0</v>
      </c>
      <c r="P51" s="185">
        <f>COUNTIF(O$2:O51, TRUE)/(COUNTIF(O$2:O51,FALSE) + COUNTIF(O$2:O51, TRUE))</f>
        <v>0.42</v>
      </c>
      <c r="Q51" s="339"/>
      <c r="R51" s="339"/>
      <c r="S51" s="339"/>
      <c r="T51" s="339"/>
      <c r="U51" s="185">
        <f>STDEV(D$2:D51)*SQRT(252)</f>
        <v>0.23982354896201158</v>
      </c>
      <c r="V51" s="185">
        <f>STDEV(L$2:L51)*SQRT(252)</f>
        <v>0.33116253966336157</v>
      </c>
      <c r="W51" s="177">
        <f t="shared" si="4"/>
        <v>-0.40047766312825195</v>
      </c>
    </row>
    <row r="52" spans="2:24" ht="20.100000000000001" customHeight="1" x14ac:dyDescent="0.25">
      <c r="B52" s="168">
        <v>42304</v>
      </c>
      <c r="C52" s="200">
        <v>2065.89</v>
      </c>
      <c r="D52" s="172">
        <f t="shared" si="5"/>
        <v>-2.5540995953997063E-3</v>
      </c>
      <c r="E52" s="201">
        <f t="shared" si="13"/>
        <v>-1.7384562698578881E-2</v>
      </c>
      <c r="F52" s="218">
        <v>5030.1499999999996</v>
      </c>
      <c r="G52" s="172">
        <f t="shared" si="2"/>
        <v>-9.0372812680004412E-4</v>
      </c>
      <c r="H52" s="203">
        <f t="shared" si="7"/>
        <v>-1.2088300567590428E-2</v>
      </c>
      <c r="I52" s="222">
        <v>345588.46</v>
      </c>
      <c r="J52" s="170">
        <v>400000</v>
      </c>
      <c r="K52" s="170">
        <f t="shared" si="14"/>
        <v>-1362.2599999999511</v>
      </c>
      <c r="L52" s="172">
        <f t="shared" si="8"/>
        <v>-3.9263789393489401E-3</v>
      </c>
      <c r="M52" s="177">
        <f t="shared" si="11"/>
        <v>-54411.539999999979</v>
      </c>
      <c r="N52" s="185">
        <f t="shared" si="12"/>
        <v>-0.13602884999999995</v>
      </c>
      <c r="O52" s="177" t="b">
        <f t="shared" si="9"/>
        <v>0</v>
      </c>
      <c r="P52" s="185">
        <f>COUNTIF(O$2:O52, TRUE)/(COUNTIF(O$2:O52,FALSE) + COUNTIF(O$2:O52, TRUE))</f>
        <v>0.41176470588235292</v>
      </c>
      <c r="Q52" s="339"/>
      <c r="R52" s="339"/>
      <c r="S52" s="339"/>
      <c r="T52" s="339"/>
      <c r="U52" s="185">
        <f>STDEV(D$2:D52)*SQRT(252)</f>
        <v>0.2374229026669446</v>
      </c>
      <c r="V52" s="185">
        <f>STDEV(L$2:L52)*SQRT(252)</f>
        <v>0.32784098915228843</v>
      </c>
      <c r="W52" s="177">
        <f t="shared" si="4"/>
        <v>-0.41492325395837537</v>
      </c>
    </row>
    <row r="53" spans="2:24" ht="20.100000000000001" customHeight="1" x14ac:dyDescent="0.25">
      <c r="B53" s="168">
        <v>42305</v>
      </c>
      <c r="C53" s="206">
        <v>2090.31</v>
      </c>
      <c r="D53" s="172">
        <f t="shared" si="5"/>
        <v>1.1820571279206576E-2</v>
      </c>
      <c r="E53" s="201">
        <f t="shared" si="13"/>
        <v>-5.7694868819086909E-3</v>
      </c>
      <c r="F53" s="218">
        <v>5095.6899999999996</v>
      </c>
      <c r="G53" s="172">
        <f t="shared" si="2"/>
        <v>1.3029432521892979E-2</v>
      </c>
      <c r="H53" s="203">
        <f t="shared" si="7"/>
        <v>7.836282577527706E-4</v>
      </c>
      <c r="I53" s="222">
        <v>353348</v>
      </c>
      <c r="J53" s="170">
        <v>400000</v>
      </c>
      <c r="K53" s="170">
        <f t="shared" si="14"/>
        <v>7759.539999999979</v>
      </c>
      <c r="L53" s="172">
        <f t="shared" si="8"/>
        <v>2.2453122421969698E-2</v>
      </c>
      <c r="M53" s="177">
        <f t="shared" si="11"/>
        <v>-46652</v>
      </c>
      <c r="N53" s="185">
        <f t="shared" si="12"/>
        <v>-0.11663</v>
      </c>
      <c r="O53" s="177" t="b">
        <f t="shared" si="9"/>
        <v>1</v>
      </c>
      <c r="P53" s="185">
        <f>COUNTIF(O$2:O53, TRUE)/(COUNTIF(O$2:O53,FALSE) + COUNTIF(O$2:O53, TRUE))</f>
        <v>0.42307692307692307</v>
      </c>
      <c r="Q53" s="339"/>
      <c r="R53" s="339"/>
      <c r="S53" s="339"/>
      <c r="T53" s="339"/>
      <c r="U53" s="185">
        <f>STDEV(D$2:D53)*SQRT(252)</f>
        <v>0.23656092323249167</v>
      </c>
      <c r="V53" s="185">
        <f>STDEV(L$2:L53)*SQRT(252)</f>
        <v>0.32865868284465172</v>
      </c>
      <c r="W53" s="177">
        <f t="shared" si="4"/>
        <v>-0.35486663243011873</v>
      </c>
    </row>
    <row r="54" spans="2:24" ht="20.100000000000001" customHeight="1" x14ac:dyDescent="0.25">
      <c r="B54" s="168">
        <v>42306</v>
      </c>
      <c r="C54" s="206">
        <v>2089.41</v>
      </c>
      <c r="D54" s="172">
        <f t="shared" si="5"/>
        <v>-4.3055814687777935E-4</v>
      </c>
      <c r="E54" s="201">
        <f>(C54-$C$2)/$C$2</f>
        <v>-6.1975609292061603E-3</v>
      </c>
      <c r="F54" s="218">
        <v>5074.2700000000004</v>
      </c>
      <c r="G54" s="172">
        <f t="shared" si="2"/>
        <v>-4.203552413902566E-3</v>
      </c>
      <c r="H54" s="203">
        <f t="shared" si="7"/>
        <v>-3.4232181786042742E-3</v>
      </c>
      <c r="I54" s="222">
        <v>349127.55</v>
      </c>
      <c r="J54" s="170">
        <v>400000</v>
      </c>
      <c r="K54" s="170">
        <f t="shared" si="14"/>
        <v>-4220.4500000000116</v>
      </c>
      <c r="L54" s="172">
        <f t="shared" si="8"/>
        <v>-1.1944174015418261E-2</v>
      </c>
      <c r="M54" s="177">
        <f t="shared" si="11"/>
        <v>-50872.450000000012</v>
      </c>
      <c r="N54" s="185">
        <f t="shared" si="12"/>
        <v>-0.12718112500000003</v>
      </c>
      <c r="O54" s="177" t="b">
        <f t="shared" si="9"/>
        <v>0</v>
      </c>
      <c r="P54" s="185">
        <f>COUNTIF(O$2:O54, TRUE)/(COUNTIF(O$2:O54,FALSE) + COUNTIF(O$2:O54, TRUE))</f>
        <v>0.41509433962264153</v>
      </c>
      <c r="Q54" s="339"/>
      <c r="R54" s="339"/>
      <c r="S54" s="339"/>
      <c r="T54" s="339"/>
      <c r="U54" s="185">
        <f>STDEV(D$2:D54)*SQRT(252)</f>
        <v>0.23423209631374151</v>
      </c>
      <c r="V54" s="185">
        <f>STDEV(L$2:L54)*SQRT(252)</f>
        <v>0.32641026079746971</v>
      </c>
      <c r="W54" s="177">
        <f t="shared" si="4"/>
        <v>-0.38963580583918311</v>
      </c>
    </row>
    <row r="55" spans="2:24" ht="20.100000000000001" customHeight="1" x14ac:dyDescent="0.25">
      <c r="B55" s="168">
        <v>42307</v>
      </c>
      <c r="C55" s="206">
        <v>2079.36</v>
      </c>
      <c r="D55" s="172">
        <f t="shared" si="5"/>
        <v>-4.8099702786909837E-3</v>
      </c>
      <c r="E55" s="201">
        <f>(C55-$C$2)/$C$2</f>
        <v>-1.0977721124027286E-2</v>
      </c>
      <c r="F55" s="218">
        <v>5053.75</v>
      </c>
      <c r="G55" s="172">
        <f t="shared" si="2"/>
        <v>-4.0439314423553405E-3</v>
      </c>
      <c r="H55" s="203">
        <f t="shared" si="7"/>
        <v>-7.4533063613331143E-3</v>
      </c>
      <c r="I55" s="485">
        <v>351138.5</v>
      </c>
      <c r="J55" s="170">
        <v>400000</v>
      </c>
      <c r="K55" s="170">
        <f t="shared" si="14"/>
        <v>2010.9500000000116</v>
      </c>
      <c r="L55" s="172">
        <f t="shared" si="8"/>
        <v>5.759929286588846E-3</v>
      </c>
      <c r="M55" s="177">
        <f t="shared" si="11"/>
        <v>-48861.5</v>
      </c>
      <c r="N55" s="185">
        <f t="shared" si="12"/>
        <v>-0.12215375000000001</v>
      </c>
      <c r="O55" s="177" t="b">
        <f t="shared" si="9"/>
        <v>1</v>
      </c>
      <c r="P55" s="185">
        <f>COUNTIF(O$2:O55, TRUE)/(COUNTIF(O$2:O55,FALSE) + COUNTIF(O$2:O55, TRUE))</f>
        <v>0.42592592592592593</v>
      </c>
      <c r="Q55" s="339"/>
      <c r="R55" s="339"/>
      <c r="S55" s="339"/>
      <c r="T55" s="339"/>
      <c r="U55" s="185">
        <f>STDEV(D$2:D55)*SQRT(252)</f>
        <v>0.23220468856265722</v>
      </c>
      <c r="V55" s="185">
        <f>STDEV(L$2:L55)*SQRT(252)</f>
        <v>0.32355647040832186</v>
      </c>
      <c r="W55" s="177">
        <f t="shared" si="4"/>
        <v>-0.37753456095575649</v>
      </c>
    </row>
    <row r="56" spans="2:24" ht="20.100000000000001" customHeight="1" x14ac:dyDescent="0.25">
      <c r="B56" s="173">
        <v>42310</v>
      </c>
      <c r="C56" s="210">
        <v>2104.0500000000002</v>
      </c>
      <c r="D56" s="172">
        <f t="shared" si="5"/>
        <v>1.187384579870732E-2</v>
      </c>
      <c r="E56" s="211">
        <f t="shared" ref="E56:E62" si="15">(C56-$C$2)/$C$2</f>
        <v>7.6577690683212233E-4</v>
      </c>
      <c r="F56" s="221">
        <v>5053.75</v>
      </c>
      <c r="G56" s="172">
        <f t="shared" si="2"/>
        <v>0</v>
      </c>
      <c r="H56" s="205">
        <f t="shared" si="7"/>
        <v>-7.4533063613331143E-3</v>
      </c>
      <c r="I56" s="223">
        <v>356948.81</v>
      </c>
      <c r="J56" s="174">
        <v>400000</v>
      </c>
      <c r="K56" s="174">
        <f t="shared" ref="K56:K87" si="16">I56-I55-J56+J55</f>
        <v>5810.3099999999977</v>
      </c>
      <c r="L56" s="172">
        <f t="shared" si="8"/>
        <v>1.6547060490376297E-2</v>
      </c>
      <c r="M56" s="184">
        <f t="shared" si="11"/>
        <v>-43051.19</v>
      </c>
      <c r="N56" s="186">
        <f t="shared" si="12"/>
        <v>-0.107627975</v>
      </c>
      <c r="O56" s="184" t="b">
        <f t="shared" si="9"/>
        <v>1</v>
      </c>
      <c r="P56" s="186">
        <f>COUNTIF(O$2:O56, TRUE)/(COUNTIF(O$2:O56,FALSE) + COUNTIF(O$2:O56, TRUE))</f>
        <v>0.43636363636363634</v>
      </c>
      <c r="Q56" s="340"/>
      <c r="R56" s="340"/>
      <c r="S56" s="340"/>
      <c r="T56" s="340"/>
      <c r="U56" s="186">
        <f>STDEV(D$2:D56)*SQRT(252)</f>
        <v>0.23145429539624826</v>
      </c>
      <c r="V56" s="186">
        <f>STDEV(L$2:L56)*SQRT(252)</f>
        <v>0.32260027221647702</v>
      </c>
      <c r="W56" s="184">
        <f t="shared" si="4"/>
        <v>-0.33362642337690757</v>
      </c>
    </row>
    <row r="57" spans="2:24" ht="20.100000000000001" customHeight="1" x14ac:dyDescent="0.25">
      <c r="B57" s="173">
        <v>42311</v>
      </c>
      <c r="C57" s="210">
        <v>2109.79</v>
      </c>
      <c r="D57" s="172">
        <f t="shared" si="5"/>
        <v>2.7280720515195844E-3</v>
      </c>
      <c r="E57" s="211">
        <f t="shared" si="15"/>
        <v>3.4959380529289343E-3</v>
      </c>
      <c r="F57" s="221">
        <v>5145.13</v>
      </c>
      <c r="G57" s="172">
        <f t="shared" si="2"/>
        <v>1.8081622557506824E-2</v>
      </c>
      <c r="H57" s="205">
        <f t="shared" si="7"/>
        <v>1.049354832374262E-2</v>
      </c>
      <c r="I57" s="223">
        <v>362269.44</v>
      </c>
      <c r="J57" s="174">
        <v>400000</v>
      </c>
      <c r="K57" s="174">
        <f t="shared" si="16"/>
        <v>5320.6300000000047</v>
      </c>
      <c r="L57" s="172">
        <f t="shared" si="8"/>
        <v>1.4905862832264393E-2</v>
      </c>
      <c r="M57" s="184">
        <f t="shared" si="11"/>
        <v>-37730.559999999998</v>
      </c>
      <c r="N57" s="186">
        <f t="shared" si="12"/>
        <v>-9.4326399999999991E-2</v>
      </c>
      <c r="O57" s="184" t="b">
        <f t="shared" si="9"/>
        <v>1</v>
      </c>
      <c r="P57" s="186">
        <f>COUNTIF(O$2:O57, TRUE)/(COUNTIF(O$2:O57,FALSE) + COUNTIF(O$2:O57, TRUE))</f>
        <v>0.44642857142857145</v>
      </c>
      <c r="Q57" s="340"/>
      <c r="R57" s="340"/>
      <c r="S57" s="340"/>
      <c r="T57" s="340"/>
      <c r="U57" s="186">
        <f>STDEV(D$2:D57)*SQRT(252)</f>
        <v>0.22936919812964679</v>
      </c>
      <c r="V57" s="186">
        <f>STDEV(L$2:L57)*SQRT(252)</f>
        <v>0.32122906847311467</v>
      </c>
      <c r="W57" s="184">
        <f t="shared" si="4"/>
        <v>-0.29364216771650808</v>
      </c>
    </row>
    <row r="58" spans="2:24" ht="20.100000000000001" customHeight="1" x14ac:dyDescent="0.25">
      <c r="B58" s="173">
        <v>42312</v>
      </c>
      <c r="C58" s="210">
        <v>2102.31</v>
      </c>
      <c r="D58" s="172">
        <f t="shared" si="5"/>
        <v>-3.5453765540646312E-3</v>
      </c>
      <c r="E58" s="211">
        <f t="shared" si="15"/>
        <v>-6.1832917943013417E-5</v>
      </c>
      <c r="F58" s="221">
        <v>5142.4799999999996</v>
      </c>
      <c r="G58" s="172">
        <f t="shared" si="2"/>
        <v>-5.1505015422361453E-4</v>
      </c>
      <c r="H58" s="205">
        <f t="shared" si="7"/>
        <v>9.9730934658365071E-3</v>
      </c>
      <c r="I58" s="223">
        <v>361654.42</v>
      </c>
      <c r="J58" s="174">
        <v>400000</v>
      </c>
      <c r="K58" s="174">
        <f t="shared" si="16"/>
        <v>-615.02000000001863</v>
      </c>
      <c r="L58" s="172">
        <f t="shared" si="8"/>
        <v>-1.697686672107972E-3</v>
      </c>
      <c r="M58" s="184">
        <f t="shared" si="11"/>
        <v>-38345.580000000016</v>
      </c>
      <c r="N58" s="186">
        <f t="shared" si="12"/>
        <v>-9.5863950000000045E-2</v>
      </c>
      <c r="O58" s="184" t="b">
        <f t="shared" si="9"/>
        <v>1</v>
      </c>
      <c r="P58" s="186">
        <f>COUNTIF(O$2:O58, TRUE)/(COUNTIF(O$2:O58,FALSE) + COUNTIF(O$2:O58, TRUE))</f>
        <v>0.45614035087719296</v>
      </c>
      <c r="Q58" s="340"/>
      <c r="R58" s="340"/>
      <c r="S58" s="340"/>
      <c r="T58" s="340"/>
      <c r="U58" s="186">
        <f>STDEV(D$2:D58)*SQRT(252)</f>
        <v>0.22741079678230972</v>
      </c>
      <c r="V58" s="186">
        <f>STDEV(L$2:L58)*SQRT(252)</f>
        <v>0.31831780697519846</v>
      </c>
      <c r="W58" s="184">
        <f t="shared" si="4"/>
        <v>-0.3011579870788354</v>
      </c>
    </row>
    <row r="59" spans="2:24" ht="20.100000000000001" customHeight="1" x14ac:dyDescent="0.25">
      <c r="B59" s="173">
        <v>42313</v>
      </c>
      <c r="C59" s="210">
        <v>2099.9299999999998</v>
      </c>
      <c r="D59" s="172">
        <f t="shared" si="5"/>
        <v>-1.1320880364932427E-3</v>
      </c>
      <c r="E59" s="211">
        <f t="shared" si="15"/>
        <v>-1.1938509541295915E-3</v>
      </c>
      <c r="F59" s="221">
        <v>5127.74</v>
      </c>
      <c r="G59" s="172">
        <f t="shared" si="2"/>
        <v>-2.8663213080069895E-3</v>
      </c>
      <c r="H59" s="205">
        <f t="shared" si="7"/>
        <v>7.0781860675216456E-3</v>
      </c>
      <c r="I59" s="223">
        <v>351667.44</v>
      </c>
      <c r="J59" s="174">
        <v>400000</v>
      </c>
      <c r="K59" s="174">
        <f t="shared" si="16"/>
        <v>-9986.9799999999814</v>
      </c>
      <c r="L59" s="172">
        <f t="shared" si="8"/>
        <v>-2.7614704667510995E-2</v>
      </c>
      <c r="M59" s="184">
        <f t="shared" si="11"/>
        <v>-48332.56</v>
      </c>
      <c r="N59" s="186">
        <f t="shared" si="12"/>
        <v>-0.12083139999999999</v>
      </c>
      <c r="O59" s="184" t="b">
        <f t="shared" ref="O59:O90" si="17">L59&gt;D59</f>
        <v>0</v>
      </c>
      <c r="P59" s="186">
        <f>COUNTIF(O$2:O59, TRUE)/(COUNTIF(O$2:O59,FALSE) + COUNTIF(O$2:O59, TRUE))</f>
        <v>0.44827586206896552</v>
      </c>
      <c r="Q59" s="340"/>
      <c r="R59" s="340"/>
      <c r="S59" s="340"/>
      <c r="T59" s="340"/>
      <c r="U59" s="186">
        <f>STDEV(D$2:D59)*SQRT(252)</f>
        <v>0.2253860839795564</v>
      </c>
      <c r="V59" s="186">
        <f>STDEV(L$2:L59)*SQRT(252)</f>
        <v>0.32078118980306136</v>
      </c>
      <c r="W59" s="184">
        <f t="shared" si="4"/>
        <v>-0.37667857044293201</v>
      </c>
    </row>
    <row r="60" spans="2:24" ht="20.100000000000001" customHeight="1" x14ac:dyDescent="0.25">
      <c r="B60" s="173">
        <v>42314</v>
      </c>
      <c r="C60" s="217">
        <v>2099.1999999999998</v>
      </c>
      <c r="D60" s="172">
        <f t="shared" si="5"/>
        <v>-3.4763063530689989E-4</v>
      </c>
      <c r="E60" s="211">
        <f t="shared" si="15"/>
        <v>-1.5410665702708455E-3</v>
      </c>
      <c r="F60" s="221">
        <v>5147.12</v>
      </c>
      <c r="G60" s="172">
        <f t="shared" si="2"/>
        <v>3.7794427954615699E-3</v>
      </c>
      <c r="H60" s="205">
        <f t="shared" si="7"/>
        <v>1.0884380462321047E-2</v>
      </c>
      <c r="I60" s="223">
        <v>351454.25</v>
      </c>
      <c r="J60" s="174">
        <v>400000</v>
      </c>
      <c r="K60" s="174">
        <f t="shared" si="16"/>
        <v>-213.19000000000233</v>
      </c>
      <c r="L60" s="172">
        <f t="shared" si="8"/>
        <v>-6.0622615502874632E-4</v>
      </c>
      <c r="M60" s="184">
        <f t="shared" si="11"/>
        <v>-48545.75</v>
      </c>
      <c r="N60" s="186">
        <f t="shared" si="12"/>
        <v>-0.121364375</v>
      </c>
      <c r="O60" s="184" t="b">
        <f t="shared" si="17"/>
        <v>0</v>
      </c>
      <c r="P60" s="186">
        <f>COUNTIF(O$2:O60, TRUE)/(COUNTIF(O$2:O60,FALSE) + COUNTIF(O$2:O60, TRUE))</f>
        <v>0.44067796610169491</v>
      </c>
      <c r="Q60" s="340"/>
      <c r="R60" s="340"/>
      <c r="S60" s="340"/>
      <c r="T60" s="340"/>
      <c r="U60" s="186">
        <f>STDEV(D$2:D60)*SQRT(252)</f>
        <v>0.22340202899589548</v>
      </c>
      <c r="V60" s="186">
        <f>STDEV(L$2:L60)*SQRT(252)</f>
        <v>0.31795506965896425</v>
      </c>
      <c r="W60" s="184">
        <f t="shared" si="4"/>
        <v>-0.38170290893670711</v>
      </c>
      <c r="X60" s="215"/>
    </row>
    <row r="61" spans="2:24" ht="20.100000000000001" customHeight="1" x14ac:dyDescent="0.25">
      <c r="B61" s="168">
        <v>42317</v>
      </c>
      <c r="C61" s="200">
        <v>2078.58</v>
      </c>
      <c r="D61" s="172">
        <f t="shared" si="5"/>
        <v>-9.8227896341462895E-3</v>
      </c>
      <c r="E61" s="201">
        <f t="shared" si="15"/>
        <v>-1.1348718631685149E-2</v>
      </c>
      <c r="F61" s="218">
        <v>5095.3</v>
      </c>
      <c r="G61" s="172">
        <f t="shared" si="2"/>
        <v>-1.0067766051694873E-2</v>
      </c>
      <c r="H61" s="203">
        <f t="shared" si="7"/>
        <v>7.0703301451388806E-4</v>
      </c>
      <c r="I61" s="222">
        <v>347015.14</v>
      </c>
      <c r="J61" s="170">
        <v>400000</v>
      </c>
      <c r="K61" s="170">
        <f t="shared" si="16"/>
        <v>-4439.109999999986</v>
      </c>
      <c r="L61" s="172">
        <f t="shared" si="8"/>
        <v>-1.2630690907849275E-2</v>
      </c>
      <c r="M61" s="177">
        <f t="shared" si="11"/>
        <v>-52984.859999999986</v>
      </c>
      <c r="N61" s="185">
        <f t="shared" si="12"/>
        <v>-0.13246214999999997</v>
      </c>
      <c r="O61" s="177" t="b">
        <f t="shared" si="17"/>
        <v>0</v>
      </c>
      <c r="P61" s="185">
        <f>COUNTIF(O$2:O61, TRUE)/(COUNTIF(O$2:O61,FALSE) + COUNTIF(O$2:O61, TRUE))</f>
        <v>0.43333333333333335</v>
      </c>
      <c r="Q61" s="339"/>
      <c r="R61" s="339"/>
      <c r="S61" s="339"/>
      <c r="T61" s="339"/>
      <c r="U61" s="185">
        <f>STDEV(D$2:D61)*SQRT(252)</f>
        <v>0.2224096817728117</v>
      </c>
      <c r="V61" s="185">
        <f>STDEV(L$2:L61)*SQRT(252)</f>
        <v>0.31620783635013966</v>
      </c>
      <c r="W61" s="177">
        <f t="shared" si="4"/>
        <v>-0.41890849869173857</v>
      </c>
    </row>
    <row r="62" spans="2:24" ht="20.100000000000001" customHeight="1" x14ac:dyDescent="0.25">
      <c r="B62" s="168">
        <v>42318</v>
      </c>
      <c r="C62" s="200">
        <v>2081.7199999999998</v>
      </c>
      <c r="D62" s="172">
        <f t="shared" si="5"/>
        <v>1.5106466914912454E-3</v>
      </c>
      <c r="E62" s="201">
        <f t="shared" si="15"/>
        <v>-9.8552158444475246E-3</v>
      </c>
      <c r="F62" s="218">
        <v>5083.24</v>
      </c>
      <c r="G62" s="172">
        <f t="shared" si="2"/>
        <v>-2.3668871312779228E-3</v>
      </c>
      <c r="H62" s="203">
        <f t="shared" si="7"/>
        <v>-1.6615275841074762E-3</v>
      </c>
      <c r="I62" s="222">
        <v>346488.34</v>
      </c>
      <c r="J62" s="170">
        <v>400000</v>
      </c>
      <c r="K62" s="170">
        <f t="shared" si="16"/>
        <v>-526.79999999998836</v>
      </c>
      <c r="L62" s="172">
        <f t="shared" si="8"/>
        <v>-1.5180893836504894E-3</v>
      </c>
      <c r="M62" s="177">
        <f t="shared" ref="M62:M93" si="18">I62-J62</f>
        <v>-53511.659999999974</v>
      </c>
      <c r="N62" s="185">
        <f t="shared" ref="N62:N93" si="19">M62/J62</f>
        <v>-0.13377914999999993</v>
      </c>
      <c r="O62" s="177" t="b">
        <f t="shared" si="17"/>
        <v>0</v>
      </c>
      <c r="P62" s="185">
        <f>COUNTIF(O$2:O62, TRUE)/(COUNTIF(O$2:O62,FALSE) + COUNTIF(O$2:O62, TRUE))</f>
        <v>0.42622950819672129</v>
      </c>
      <c r="Q62" s="339"/>
      <c r="R62" s="339"/>
      <c r="S62" s="339"/>
      <c r="T62" s="339"/>
      <c r="U62" s="185">
        <f>STDEV(D$2:D62)*SQRT(252)</f>
        <v>0.22054140197015909</v>
      </c>
      <c r="V62" s="185">
        <f>STDEV(L$2:L62)*SQRT(252)</f>
        <v>0.31352177036879675</v>
      </c>
      <c r="W62" s="177">
        <f t="shared" si="4"/>
        <v>-0.42669812001455287</v>
      </c>
    </row>
    <row r="63" spans="2:24" ht="20.100000000000001" customHeight="1" x14ac:dyDescent="0.25">
      <c r="B63" s="168">
        <v>42319</v>
      </c>
      <c r="C63" s="200">
        <v>2075</v>
      </c>
      <c r="D63" s="172">
        <f t="shared" si="5"/>
        <v>-3.2280998405164003E-3</v>
      </c>
      <c r="E63" s="201">
        <f t="shared" ref="E63:E84" si="20">(C63-$C$2)/$C$2</f>
        <v>-1.305150206426821E-2</v>
      </c>
      <c r="F63" s="218">
        <v>5067.0200000000004</v>
      </c>
      <c r="G63" s="172">
        <f t="shared" si="2"/>
        <v>-3.1908782587482289E-3</v>
      </c>
      <c r="H63" s="203">
        <f t="shared" si="7"/>
        <v>-4.8471041106112655E-3</v>
      </c>
      <c r="I63" s="222">
        <v>341384.62</v>
      </c>
      <c r="J63" s="170">
        <v>400000</v>
      </c>
      <c r="K63" s="170">
        <f t="shared" si="16"/>
        <v>-5103.7200000000303</v>
      </c>
      <c r="L63" s="172">
        <f t="shared" si="8"/>
        <v>-1.472984632036977E-2</v>
      </c>
      <c r="M63" s="177">
        <f t="shared" si="18"/>
        <v>-58615.380000000005</v>
      </c>
      <c r="N63" s="185">
        <f t="shared" si="19"/>
        <v>-0.14653845000000001</v>
      </c>
      <c r="O63" s="177" t="b">
        <f t="shared" si="17"/>
        <v>0</v>
      </c>
      <c r="P63" s="185">
        <f>COUNTIF(O$2:O63, TRUE)/(COUNTIF(O$2:O63,FALSE) + COUNTIF(O$2:O63, TRUE))</f>
        <v>0.41935483870967744</v>
      </c>
      <c r="Q63" s="339"/>
      <c r="R63" s="339"/>
      <c r="S63" s="339"/>
      <c r="T63" s="339"/>
      <c r="U63" s="185">
        <f>STDEV(D$2:D63)*SQRT(252)</f>
        <v>0.21879001839109452</v>
      </c>
      <c r="V63" s="185">
        <f>STDEV(L$2:L63)*SQRT(252)</f>
        <v>0.31221077177668255</v>
      </c>
      <c r="W63" s="177">
        <f t="shared" si="4"/>
        <v>-0.46935744454331552</v>
      </c>
    </row>
    <row r="64" spans="2:24" ht="20.100000000000001" customHeight="1" x14ac:dyDescent="0.25">
      <c r="B64" s="168">
        <v>42320</v>
      </c>
      <c r="C64" s="206">
        <v>2045.97</v>
      </c>
      <c r="D64" s="172">
        <f t="shared" si="5"/>
        <v>-1.3990361445783119E-2</v>
      </c>
      <c r="E64" s="201">
        <f t="shared" si="20"/>
        <v>-2.6859268278761832E-2</v>
      </c>
      <c r="F64" s="218">
        <v>5005.08</v>
      </c>
      <c r="G64" s="172">
        <f t="shared" si="2"/>
        <v>-1.222414752655417E-2</v>
      </c>
      <c r="H64" s="203">
        <f t="shared" si="7"/>
        <v>-1.7011999921440757E-2</v>
      </c>
      <c r="I64" s="222">
        <v>335500.62</v>
      </c>
      <c r="J64" s="170">
        <v>400000</v>
      </c>
      <c r="K64" s="170">
        <f t="shared" si="16"/>
        <v>-5884</v>
      </c>
      <c r="L64" s="172">
        <f t="shared" si="8"/>
        <v>-1.7235691520022196E-2</v>
      </c>
      <c r="M64" s="177">
        <f t="shared" si="18"/>
        <v>-64499.380000000005</v>
      </c>
      <c r="N64" s="185">
        <f t="shared" si="19"/>
        <v>-0.16124845000000002</v>
      </c>
      <c r="O64" s="177" t="b">
        <f t="shared" si="17"/>
        <v>0</v>
      </c>
      <c r="P64" s="185">
        <f>COUNTIF(O$2:O64, TRUE)/(COUNTIF(O$2:O64,FALSE) + COUNTIF(O$2:O64, TRUE))</f>
        <v>0.41269841269841268</v>
      </c>
      <c r="Q64" s="339"/>
      <c r="R64" s="339"/>
      <c r="S64" s="339"/>
      <c r="T64" s="339"/>
      <c r="U64" s="185">
        <f>STDEV(D$2:D64)*SQRT(252)</f>
        <v>0.21878322617502383</v>
      </c>
      <c r="V64" s="185">
        <f>STDEV(L$2:L64)*SQRT(252)</f>
        <v>0.311389828072407</v>
      </c>
      <c r="W64" s="177">
        <f t="shared" si="4"/>
        <v>-0.51783467365705071</v>
      </c>
    </row>
    <row r="65" spans="2:23" ht="20.100000000000001" customHeight="1" x14ac:dyDescent="0.25">
      <c r="B65" s="168">
        <v>42321</v>
      </c>
      <c r="C65" s="206">
        <v>2023.04</v>
      </c>
      <c r="D65" s="172">
        <f t="shared" si="5"/>
        <v>-1.1207397957936852E-2</v>
      </c>
      <c r="E65" s="201">
        <f t="shared" si="20"/>
        <v>-3.7765643728239609E-2</v>
      </c>
      <c r="F65" s="218">
        <v>4927.88</v>
      </c>
      <c r="G65" s="172">
        <f t="shared" si="2"/>
        <v>-1.5424328881855999E-2</v>
      </c>
      <c r="H65" s="203">
        <f t="shared" si="7"/>
        <v>-3.217393012157034E-2</v>
      </c>
      <c r="I65" s="222">
        <v>335955</v>
      </c>
      <c r="J65" s="170">
        <v>400000</v>
      </c>
      <c r="K65" s="170">
        <f t="shared" si="16"/>
        <v>454.38000000000466</v>
      </c>
      <c r="L65" s="172">
        <f t="shared" si="8"/>
        <v>1.3543343079366133E-3</v>
      </c>
      <c r="M65" s="177">
        <f t="shared" si="18"/>
        <v>-64045</v>
      </c>
      <c r="N65" s="185">
        <f t="shared" si="19"/>
        <v>-0.16011249999999999</v>
      </c>
      <c r="O65" s="177" t="b">
        <f t="shared" si="17"/>
        <v>1</v>
      </c>
      <c r="P65" s="185">
        <f>COUNTIF(O$2:O65, TRUE)/(COUNTIF(O$2:O65,FALSE) + COUNTIF(O$2:O65, TRUE))</f>
        <v>0.421875</v>
      </c>
      <c r="Q65" s="339"/>
      <c r="R65" s="339"/>
      <c r="S65" s="339"/>
      <c r="T65" s="339"/>
      <c r="U65" s="185">
        <f>STDEV(D$2:D65)*SQRT(252)</f>
        <v>0.21809630494176296</v>
      </c>
      <c r="V65" s="185">
        <f>STDEV(L$2:L65)*SQRT(252)</f>
        <v>0.30890912442956392</v>
      </c>
      <c r="W65" s="177">
        <f t="shared" si="4"/>
        <v>-0.51831586488636772</v>
      </c>
    </row>
    <row r="66" spans="2:23" ht="20.100000000000001" customHeight="1" x14ac:dyDescent="0.25">
      <c r="B66" s="173">
        <v>42324</v>
      </c>
      <c r="C66" s="210">
        <v>2053.19</v>
      </c>
      <c r="D66" s="172">
        <f t="shared" si="5"/>
        <v>1.4903313824739053E-2</v>
      </c>
      <c r="E66" s="211">
        <f t="shared" si="20"/>
        <v>-2.3425163143775803E-2</v>
      </c>
      <c r="F66" s="221">
        <v>4984.62</v>
      </c>
      <c r="G66" s="172">
        <f t="shared" si="2"/>
        <v>1.1514079076600847E-2</v>
      </c>
      <c r="H66" s="205">
        <f t="shared" si="7"/>
        <v>-2.1030304220594286E-2</v>
      </c>
      <c r="I66" s="223">
        <v>342834.39</v>
      </c>
      <c r="J66" s="174">
        <v>400000</v>
      </c>
      <c r="K66" s="174">
        <f t="shared" si="16"/>
        <v>6879.390000000014</v>
      </c>
      <c r="L66" s="172">
        <f t="shared" si="8"/>
        <v>2.047711747108992E-2</v>
      </c>
      <c r="M66" s="184">
        <f t="shared" si="18"/>
        <v>-57165.609999999986</v>
      </c>
      <c r="N66" s="186">
        <f t="shared" si="19"/>
        <v>-0.14291402499999997</v>
      </c>
      <c r="O66" s="184" t="b">
        <f t="shared" si="17"/>
        <v>1</v>
      </c>
      <c r="P66" s="186">
        <f>COUNTIF(O$2:O66, TRUE)/(COUNTIF(O$2:O66,FALSE) + COUNTIF(O$2:O66, TRUE))</f>
        <v>0.43076923076923079</v>
      </c>
      <c r="Q66" s="340"/>
      <c r="R66" s="340"/>
      <c r="S66" s="340"/>
      <c r="T66" s="340"/>
      <c r="U66" s="186">
        <f>STDEV(D$2:D66)*SQRT(252)</f>
        <v>0.2185117014996438</v>
      </c>
      <c r="V66" s="186">
        <f>STDEV(L$2:L66)*SQRT(252)</f>
        <v>0.30942792293284299</v>
      </c>
      <c r="W66" s="184">
        <f t="shared" si="4"/>
        <v>-0.46186531469242181</v>
      </c>
    </row>
    <row r="67" spans="2:23" ht="20.100000000000001" customHeight="1" x14ac:dyDescent="0.25">
      <c r="B67" s="173">
        <v>42325</v>
      </c>
      <c r="C67" s="210">
        <v>2050.44</v>
      </c>
      <c r="D67" s="172">
        <f t="shared" si="5"/>
        <v>-1.3393792099123801E-3</v>
      </c>
      <c r="E67" s="211">
        <f t="shared" si="20"/>
        <v>-2.4733167177184604E-2</v>
      </c>
      <c r="F67" s="221">
        <v>4986.01</v>
      </c>
      <c r="G67" s="172">
        <f t="shared" ref="G67:G131" si="21">(F67-F66)/F66</f>
        <v>2.7885776648978807E-4</v>
      </c>
      <c r="H67" s="205">
        <f t="shared" ref="H67:H84" si="22">(F67-F$2)/F$2</f>
        <v>-2.0757310917768054E-2</v>
      </c>
      <c r="I67" s="223">
        <v>341363.07</v>
      </c>
      <c r="J67" s="174">
        <v>400000</v>
      </c>
      <c r="K67" s="174">
        <f t="shared" si="16"/>
        <v>-1471.320000000007</v>
      </c>
      <c r="L67" s="172">
        <f t="shared" si="8"/>
        <v>-4.2916348036146747E-3</v>
      </c>
      <c r="M67" s="184">
        <f t="shared" si="18"/>
        <v>-58636.929999999993</v>
      </c>
      <c r="N67" s="186">
        <f t="shared" si="19"/>
        <v>-0.146592325</v>
      </c>
      <c r="O67" s="184" t="b">
        <f t="shared" si="17"/>
        <v>0</v>
      </c>
      <c r="P67" s="186">
        <f>COUNTIF(O$2:O67, TRUE)/(COUNTIF(O$2:O67,FALSE) + COUNTIF(O$2:O67, TRUE))</f>
        <v>0.42424242424242425</v>
      </c>
      <c r="Q67" s="340"/>
      <c r="R67" s="340"/>
      <c r="S67" s="340"/>
      <c r="T67" s="340"/>
      <c r="U67" s="186">
        <f>STDEV(D$2:D67)*SQRT(252)</f>
        <v>0.21680795188349017</v>
      </c>
      <c r="V67" s="186">
        <f>STDEV(L$2:L67)*SQRT(252)</f>
        <v>0.30707902780871166</v>
      </c>
      <c r="W67" s="184">
        <f t="shared" ref="W67:W130" si="23">N67/V67</f>
        <v>-0.4773765439016453</v>
      </c>
    </row>
    <row r="68" spans="2:23" ht="20.100000000000001" customHeight="1" x14ac:dyDescent="0.25">
      <c r="B68" s="173">
        <v>42326</v>
      </c>
      <c r="C68" s="210">
        <v>2083.58</v>
      </c>
      <c r="D68" s="172">
        <f t="shared" ref="D68:D132" si="24">(C68-C67)/C67</f>
        <v>1.6162384658902417E-2</v>
      </c>
      <c r="E68" s="211">
        <f t="shared" si="20"/>
        <v>-8.970529480032784E-3</v>
      </c>
      <c r="F68" s="221">
        <v>5075.2</v>
      </c>
      <c r="G68" s="172">
        <f t="shared" si="21"/>
        <v>1.7888050766043308E-2</v>
      </c>
      <c r="H68" s="205">
        <f t="shared" si="22"/>
        <v>-3.2405679831883261E-3</v>
      </c>
      <c r="I68" s="223">
        <v>349578.29</v>
      </c>
      <c r="J68" s="174">
        <v>400000</v>
      </c>
      <c r="K68" s="174">
        <f t="shared" si="16"/>
        <v>8215.2199999999721</v>
      </c>
      <c r="L68" s="172">
        <f t="shared" ref="L68:L131" si="25">K68/I67</f>
        <v>2.4065930740545461E-2</v>
      </c>
      <c r="M68" s="184">
        <f t="shared" si="18"/>
        <v>-50421.710000000021</v>
      </c>
      <c r="N68" s="186">
        <f t="shared" si="19"/>
        <v>-0.12605427500000005</v>
      </c>
      <c r="O68" s="184" t="b">
        <f t="shared" si="17"/>
        <v>1</v>
      </c>
      <c r="P68" s="186">
        <f>COUNTIF(O$2:O68, TRUE)/(COUNTIF(O$2:O68,FALSE) + COUNTIF(O$2:O68, TRUE))</f>
        <v>0.43283582089552236</v>
      </c>
      <c r="Q68" s="340"/>
      <c r="R68" s="340"/>
      <c r="S68" s="340"/>
      <c r="T68" s="340"/>
      <c r="U68" s="186">
        <f>STDEV(D$2:D68)*SQRT(252)</f>
        <v>0.21752341302178005</v>
      </c>
      <c r="V68" s="186">
        <f>STDEV(L$2:L68)*SQRT(252)</f>
        <v>0.30856663188820815</v>
      </c>
      <c r="W68" s="184">
        <f t="shared" si="23"/>
        <v>-0.40851557483269535</v>
      </c>
    </row>
    <row r="69" spans="2:23" ht="20.100000000000001" customHeight="1" x14ac:dyDescent="0.25">
      <c r="B69" s="173">
        <v>42327</v>
      </c>
      <c r="C69" s="210">
        <v>2081.2399999999998</v>
      </c>
      <c r="D69" s="172">
        <f t="shared" si="24"/>
        <v>-1.1230670288638524E-3</v>
      </c>
      <c r="E69" s="211">
        <f t="shared" si="20"/>
        <v>-1.0083522003006161E-2</v>
      </c>
      <c r="F69" s="221">
        <v>5073.63</v>
      </c>
      <c r="G69" s="172">
        <f t="shared" si="21"/>
        <v>-3.0934741488014442E-4</v>
      </c>
      <c r="H69" s="205">
        <f t="shared" si="22"/>
        <v>-3.5489129367401282E-3</v>
      </c>
      <c r="I69" s="223">
        <v>351509.95</v>
      </c>
      <c r="J69" s="174">
        <v>400000</v>
      </c>
      <c r="K69" s="174">
        <f t="shared" si="16"/>
        <v>1931.6600000000326</v>
      </c>
      <c r="L69" s="172">
        <f t="shared" si="25"/>
        <v>5.5256863920240375E-3</v>
      </c>
      <c r="M69" s="184">
        <f t="shared" si="18"/>
        <v>-48490.049999999988</v>
      </c>
      <c r="N69" s="186">
        <f t="shared" si="19"/>
        <v>-0.12122512499999998</v>
      </c>
      <c r="O69" s="184" t="b">
        <f t="shared" si="17"/>
        <v>1</v>
      </c>
      <c r="P69" s="186">
        <f>COUNTIF(O$2:O69, TRUE)/(COUNTIF(O$2:O69,FALSE) + COUNTIF(O$2:O69, TRUE))</f>
        <v>0.44117647058823528</v>
      </c>
      <c r="Q69" s="340"/>
      <c r="R69" s="340"/>
      <c r="S69" s="340"/>
      <c r="T69" s="340"/>
      <c r="U69" s="186">
        <f>STDEV(D$2:D69)*SQRT(252)</f>
        <v>0.21587936448621181</v>
      </c>
      <c r="V69" s="186">
        <f>STDEV(L$2:L69)*SQRT(252)</f>
        <v>0.30643952094821814</v>
      </c>
      <c r="W69" s="184">
        <f t="shared" si="23"/>
        <v>-0.39559233295004559</v>
      </c>
    </row>
    <row r="70" spans="2:23" ht="20.100000000000001" customHeight="1" x14ac:dyDescent="0.25">
      <c r="B70" s="173">
        <v>42328</v>
      </c>
      <c r="C70" s="217">
        <v>2089.17</v>
      </c>
      <c r="D70" s="172">
        <f t="shared" si="24"/>
        <v>3.8102285176146392E-3</v>
      </c>
      <c r="E70" s="211">
        <f t="shared" si="20"/>
        <v>-6.3117140084853699E-3</v>
      </c>
      <c r="F70" s="221">
        <v>5104.92</v>
      </c>
      <c r="G70" s="172">
        <f t="shared" si="21"/>
        <v>6.1671820767379495E-3</v>
      </c>
      <c r="H70" s="205">
        <f t="shared" si="22"/>
        <v>2.5963823477424546E-3</v>
      </c>
      <c r="I70" s="223">
        <v>349809.33</v>
      </c>
      <c r="J70" s="174">
        <v>400000</v>
      </c>
      <c r="K70" s="174">
        <f t="shared" si="16"/>
        <v>-1700.6199999999953</v>
      </c>
      <c r="L70" s="172">
        <f t="shared" si="25"/>
        <v>-4.8380422801687275E-3</v>
      </c>
      <c r="M70" s="184">
        <f t="shared" si="18"/>
        <v>-50190.669999999984</v>
      </c>
      <c r="N70" s="186">
        <f t="shared" si="19"/>
        <v>-0.12547667499999995</v>
      </c>
      <c r="O70" s="184" t="b">
        <f t="shared" si="17"/>
        <v>0</v>
      </c>
      <c r="P70" s="186">
        <f>COUNTIF(O$2:O70, TRUE)/(COUNTIF(O$2:O70,FALSE) + COUNTIF(O$2:O70, TRUE))</f>
        <v>0.43478260869565216</v>
      </c>
      <c r="Q70" s="340"/>
      <c r="R70" s="340"/>
      <c r="S70" s="340"/>
      <c r="T70" s="340"/>
      <c r="U70" s="186">
        <f>STDEV(D$2:D70)*SQRT(252)</f>
        <v>0.21439176321013317</v>
      </c>
      <c r="V70" s="186">
        <f>STDEV(L$2:L70)*SQRT(252)</f>
        <v>0.30426600271918647</v>
      </c>
      <c r="W70" s="184">
        <f t="shared" si="23"/>
        <v>-0.41239137425355088</v>
      </c>
    </row>
    <row r="71" spans="2:23" ht="20.100000000000001" customHeight="1" x14ac:dyDescent="0.25">
      <c r="B71" s="168">
        <v>42331</v>
      </c>
      <c r="C71" s="200">
        <v>2086.59</v>
      </c>
      <c r="D71" s="172">
        <f t="shared" si="24"/>
        <v>-1.2349401915592924E-3</v>
      </c>
      <c r="E71" s="201">
        <f t="shared" si="20"/>
        <v>-7.5388596107379561E-3</v>
      </c>
      <c r="F71" s="218">
        <v>5102.47</v>
      </c>
      <c r="G71" s="172">
        <f t="shared" si="21"/>
        <v>-4.7992916637279687E-4</v>
      </c>
      <c r="H71" s="203">
        <f t="shared" si="22"/>
        <v>2.1152071017539204E-3</v>
      </c>
      <c r="I71" s="222">
        <v>352380.62</v>
      </c>
      <c r="J71" s="170">
        <v>400000</v>
      </c>
      <c r="K71" s="170">
        <f t="shared" si="16"/>
        <v>2571.289999999979</v>
      </c>
      <c r="L71" s="172">
        <f t="shared" si="25"/>
        <v>7.3505472252554807E-3</v>
      </c>
      <c r="M71" s="177">
        <f t="shared" si="18"/>
        <v>-47619.380000000005</v>
      </c>
      <c r="N71" s="185">
        <f t="shared" si="19"/>
        <v>-0.11904845000000001</v>
      </c>
      <c r="O71" s="177" t="b">
        <f t="shared" si="17"/>
        <v>1</v>
      </c>
      <c r="P71" s="185">
        <f>COUNTIF(O$2:O71, TRUE)/(COUNTIF(O$2:O71,FALSE) + COUNTIF(O$2:O71, TRUE))</f>
        <v>0.44285714285714284</v>
      </c>
      <c r="Q71" s="339"/>
      <c r="R71" s="339"/>
      <c r="S71" s="339"/>
      <c r="T71" s="339"/>
      <c r="U71" s="185">
        <f>STDEV(D$2:D71)*SQRT(252)</f>
        <v>0.21282253565490999</v>
      </c>
      <c r="V71" s="185">
        <f>STDEV(L$2:L71)*SQRT(252)</f>
        <v>0.30238621984250691</v>
      </c>
      <c r="W71" s="177">
        <f t="shared" si="23"/>
        <v>-0.39369667725600893</v>
      </c>
    </row>
    <row r="72" spans="2:23" ht="20.100000000000001" customHeight="1" x14ac:dyDescent="0.25">
      <c r="B72" s="168">
        <v>42332</v>
      </c>
      <c r="C72" s="200">
        <v>2089.14</v>
      </c>
      <c r="D72" s="172">
        <f t="shared" si="24"/>
        <v>1.2220896294910485E-3</v>
      </c>
      <c r="E72" s="201">
        <f t="shared" si="20"/>
        <v>-6.3259831433953792E-3</v>
      </c>
      <c r="F72" s="218">
        <v>5102.8</v>
      </c>
      <c r="G72" s="172">
        <f t="shared" si="21"/>
        <v>6.4674559576034202E-5</v>
      </c>
      <c r="H72" s="203">
        <f t="shared" si="22"/>
        <v>2.1800184614176729E-3</v>
      </c>
      <c r="I72" s="222">
        <v>356994.69</v>
      </c>
      <c r="J72" s="170">
        <v>400000</v>
      </c>
      <c r="K72" s="170">
        <f t="shared" si="16"/>
        <v>4614.070000000007</v>
      </c>
      <c r="L72" s="172">
        <f t="shared" si="25"/>
        <v>1.309399478325456E-2</v>
      </c>
      <c r="M72" s="177">
        <f t="shared" si="18"/>
        <v>-43005.31</v>
      </c>
      <c r="N72" s="185">
        <f t="shared" si="19"/>
        <v>-0.10751327499999999</v>
      </c>
      <c r="O72" s="177" t="b">
        <f t="shared" si="17"/>
        <v>1</v>
      </c>
      <c r="P72" s="185">
        <f>COUNTIF(O$2:O72, TRUE)/(COUNTIF(O$2:O72,FALSE) + COUNTIF(O$2:O72, TRUE))</f>
        <v>0.45070422535211269</v>
      </c>
      <c r="Q72" s="339"/>
      <c r="R72" s="339"/>
      <c r="S72" s="339"/>
      <c r="T72" s="339"/>
      <c r="U72" s="185">
        <f>STDEV(D$2:D72)*SQRT(252)</f>
        <v>0.21128787806615651</v>
      </c>
      <c r="V72" s="185">
        <f>STDEV(L$2:L72)*SQRT(252)</f>
        <v>0.30126350583982381</v>
      </c>
      <c r="W72" s="177">
        <f t="shared" si="23"/>
        <v>-0.3568745397829991</v>
      </c>
    </row>
    <row r="73" spans="2:23" ht="20.100000000000001" customHeight="1" x14ac:dyDescent="0.25">
      <c r="B73" s="168">
        <v>42333</v>
      </c>
      <c r="C73" s="200">
        <v>2088.87</v>
      </c>
      <c r="D73" s="172">
        <f t="shared" si="24"/>
        <v>-1.2923978287715607E-4</v>
      </c>
      <c r="E73" s="201">
        <f t="shared" si="20"/>
        <v>-6.4544053575845989E-3</v>
      </c>
      <c r="F73" s="218">
        <v>5116.1400000000003</v>
      </c>
      <c r="G73" s="172">
        <f t="shared" si="21"/>
        <v>2.6142509994513102E-3</v>
      </c>
      <c r="H73" s="203">
        <f t="shared" si="22"/>
        <v>4.7999685763105661E-3</v>
      </c>
      <c r="I73" s="222">
        <v>357953.42</v>
      </c>
      <c r="J73" s="170">
        <v>400000</v>
      </c>
      <c r="K73" s="170">
        <f t="shared" si="16"/>
        <v>958.72999999998137</v>
      </c>
      <c r="L73" s="172">
        <f t="shared" si="25"/>
        <v>2.6855581521394098E-3</v>
      </c>
      <c r="M73" s="177">
        <f t="shared" si="18"/>
        <v>-42046.580000000016</v>
      </c>
      <c r="N73" s="185">
        <f t="shared" si="19"/>
        <v>-0.10511645000000004</v>
      </c>
      <c r="O73" s="177" t="b">
        <f t="shared" si="17"/>
        <v>1</v>
      </c>
      <c r="P73" s="185">
        <f>COUNTIF(O$2:O73, TRUE)/(COUNTIF(O$2:O73,FALSE) + COUNTIF(O$2:O73, TRUE))</f>
        <v>0.45833333333333331</v>
      </c>
      <c r="Q73" s="339"/>
      <c r="R73" s="339"/>
      <c r="S73" s="339"/>
      <c r="T73" s="339"/>
      <c r="U73" s="185">
        <f>STDEV(D$2:D73)*SQRT(252)</f>
        <v>0.20977338456133537</v>
      </c>
      <c r="V73" s="185">
        <f>STDEV(L$2:L73)*SQRT(252)</f>
        <v>0.29915075312421052</v>
      </c>
      <c r="W73" s="177">
        <f t="shared" si="23"/>
        <v>-0.35138286934666213</v>
      </c>
    </row>
    <row r="74" spans="2:23" ht="20.100000000000001" customHeight="1" x14ac:dyDescent="0.25">
      <c r="B74" s="168">
        <v>42335</v>
      </c>
      <c r="C74" s="206">
        <v>2090.11</v>
      </c>
      <c r="D74" s="172">
        <f t="shared" si="24"/>
        <v>5.9362238913873841E-4</v>
      </c>
      <c r="E74" s="201">
        <f t="shared" si="20"/>
        <v>-5.8646144479746996E-3</v>
      </c>
      <c r="F74" s="218">
        <v>5127.5200000000004</v>
      </c>
      <c r="G74" s="172">
        <f t="shared" si="21"/>
        <v>2.2243331886930592E-3</v>
      </c>
      <c r="H74" s="203">
        <f t="shared" si="22"/>
        <v>7.0349784944125967E-3</v>
      </c>
      <c r="I74" s="222">
        <v>355463.47</v>
      </c>
      <c r="J74" s="170">
        <v>400000</v>
      </c>
      <c r="K74" s="170">
        <f t="shared" si="16"/>
        <v>-2489.9500000000116</v>
      </c>
      <c r="L74" s="172">
        <f t="shared" si="25"/>
        <v>-6.9560726644265942E-3</v>
      </c>
      <c r="M74" s="177">
        <f t="shared" si="18"/>
        <v>-44536.530000000028</v>
      </c>
      <c r="N74" s="185">
        <f t="shared" si="19"/>
        <v>-0.11134132500000007</v>
      </c>
      <c r="O74" s="177" t="b">
        <f t="shared" si="17"/>
        <v>0</v>
      </c>
      <c r="P74" s="185">
        <f>COUNTIF(O$2:O74, TRUE)/(COUNTIF(O$2:O74,FALSE) + COUNTIF(O$2:O74, TRUE))</f>
        <v>0.45205479452054792</v>
      </c>
      <c r="Q74" s="339"/>
      <c r="R74" s="339"/>
      <c r="S74" s="339"/>
      <c r="T74" s="339"/>
      <c r="U74" s="185">
        <f>STDEV(D$2:D74)*SQRT(252)</f>
        <v>0.20829387869007757</v>
      </c>
      <c r="V74" s="185">
        <f>STDEV(L$2:L74)*SQRT(252)</f>
        <v>0.29731455796464418</v>
      </c>
      <c r="W74" s="177">
        <f t="shared" si="23"/>
        <v>-0.37448998717795878</v>
      </c>
    </row>
    <row r="75" spans="2:23" ht="20.100000000000001" customHeight="1" x14ac:dyDescent="0.25">
      <c r="B75" s="173">
        <v>42338</v>
      </c>
      <c r="C75" s="210">
        <v>2080.41</v>
      </c>
      <c r="D75" s="172">
        <f t="shared" si="24"/>
        <v>-4.6409040672501789E-3</v>
      </c>
      <c r="E75" s="211">
        <f t="shared" si="20"/>
        <v>-1.0478301402180418E-2</v>
      </c>
      <c r="F75" s="221">
        <v>5108.66</v>
      </c>
      <c r="G75" s="172">
        <f t="shared" si="21"/>
        <v>-3.6781914063720045E-3</v>
      </c>
      <c r="H75" s="205">
        <f t="shared" si="22"/>
        <v>3.3309110905984322E-3</v>
      </c>
      <c r="I75" s="483">
        <v>358262.29</v>
      </c>
      <c r="J75" s="174">
        <v>400000</v>
      </c>
      <c r="K75" s="174">
        <f t="shared" si="16"/>
        <v>2798.820000000007</v>
      </c>
      <c r="L75" s="172">
        <f t="shared" si="25"/>
        <v>7.8737204697855653E-3</v>
      </c>
      <c r="M75" s="184">
        <f t="shared" si="18"/>
        <v>-41737.710000000021</v>
      </c>
      <c r="N75" s="186">
        <f t="shared" si="19"/>
        <v>-0.10434427500000006</v>
      </c>
      <c r="O75" s="184" t="b">
        <f t="shared" si="17"/>
        <v>1</v>
      </c>
      <c r="P75" s="186">
        <f>COUNTIF(O$2:O75, TRUE)/(COUNTIF(O$2:O75,FALSE) + COUNTIF(O$2:O75, TRUE))</f>
        <v>0.45945945945945948</v>
      </c>
      <c r="Q75" s="340"/>
      <c r="R75" s="340"/>
      <c r="S75" s="340"/>
      <c r="T75" s="340"/>
      <c r="U75" s="186">
        <f>STDEV(D$2:D75)*SQRT(252)</f>
        <v>0.20702224585874895</v>
      </c>
      <c r="V75" s="186">
        <f>STDEV(L$2:L75)*SQRT(252)</f>
        <v>0.29562170062555598</v>
      </c>
      <c r="W75" s="184">
        <f t="shared" si="23"/>
        <v>-0.35296554609895131</v>
      </c>
    </row>
    <row r="76" spans="2:23" ht="20.100000000000001" customHeight="1" x14ac:dyDescent="0.25">
      <c r="B76" s="173">
        <v>42339</v>
      </c>
      <c r="C76" s="210">
        <v>2102.63</v>
      </c>
      <c r="D76" s="172">
        <f t="shared" si="24"/>
        <v>1.0680586999678072E-2</v>
      </c>
      <c r="E76" s="211">
        <f t="shared" si="20"/>
        <v>9.0371187762815854E-5</v>
      </c>
      <c r="F76" s="221">
        <v>5156.3</v>
      </c>
      <c r="G76" s="172">
        <f t="shared" si="21"/>
        <v>9.3253416747249435E-3</v>
      </c>
      <c r="H76" s="205">
        <f t="shared" si="22"/>
        <v>1.2687314649331337E-2</v>
      </c>
      <c r="I76" s="223">
        <v>361281.91</v>
      </c>
      <c r="J76" s="174">
        <v>400000</v>
      </c>
      <c r="K76" s="174">
        <f t="shared" si="16"/>
        <v>3019.6199999999953</v>
      </c>
      <c r="L76" s="172">
        <f t="shared" si="25"/>
        <v>8.4285175534382795E-3</v>
      </c>
      <c r="M76" s="184">
        <f t="shared" si="18"/>
        <v>-38718.090000000026</v>
      </c>
      <c r="N76" s="186">
        <f t="shared" si="19"/>
        <v>-9.6795225000000068E-2</v>
      </c>
      <c r="O76" s="184" t="b">
        <f t="shared" si="17"/>
        <v>0</v>
      </c>
      <c r="P76" s="186">
        <f>COUNTIF(O$2:O76, TRUE)/(COUNTIF(O$2:O76,FALSE) + COUNTIF(O$2:O76, TRUE))</f>
        <v>0.45333333333333331</v>
      </c>
      <c r="Q76" s="340"/>
      <c r="R76" s="340"/>
      <c r="S76" s="340"/>
      <c r="T76" s="340"/>
      <c r="U76" s="186">
        <f>STDEV(D$2:D76)*SQRT(252)</f>
        <v>0.20655260318517649</v>
      </c>
      <c r="V76" s="186">
        <f>STDEV(L$2:L76)*SQRT(252)</f>
        <v>0.29400855496408335</v>
      </c>
      <c r="W76" s="184">
        <f t="shared" si="23"/>
        <v>-0.32922587919873542</v>
      </c>
    </row>
    <row r="77" spans="2:23" ht="20.100000000000001" customHeight="1" x14ac:dyDescent="0.25">
      <c r="B77" s="173">
        <v>42340</v>
      </c>
      <c r="C77" s="210">
        <v>2079.5100000000002</v>
      </c>
      <c r="D77" s="172">
        <f t="shared" si="24"/>
        <v>-1.0995752937987135E-2</v>
      </c>
      <c r="E77" s="211">
        <f t="shared" si="20"/>
        <v>-1.0906375449477671E-2</v>
      </c>
      <c r="F77" s="221">
        <v>5123.22</v>
      </c>
      <c r="G77" s="172">
        <f t="shared" si="21"/>
        <v>-6.415452941062375E-3</v>
      </c>
      <c r="H77" s="205">
        <f t="shared" si="22"/>
        <v>6.1904668381877245E-3</v>
      </c>
      <c r="I77" s="223">
        <v>349641.2</v>
      </c>
      <c r="J77" s="174">
        <v>400000</v>
      </c>
      <c r="K77" s="174">
        <f t="shared" si="16"/>
        <v>-11640.709999999963</v>
      </c>
      <c r="L77" s="172">
        <f t="shared" si="25"/>
        <v>-3.2220572571707129E-2</v>
      </c>
      <c r="M77" s="184">
        <f t="shared" si="18"/>
        <v>-50358.799999999988</v>
      </c>
      <c r="N77" s="186">
        <f t="shared" si="19"/>
        <v>-0.12589699999999998</v>
      </c>
      <c r="O77" s="184" t="b">
        <f t="shared" si="17"/>
        <v>0</v>
      </c>
      <c r="P77" s="186">
        <f>COUNTIF(O$2:O77, TRUE)/(COUNTIF(O$2:O77,FALSE) + COUNTIF(O$2:O77, TRUE))</f>
        <v>0.44736842105263158</v>
      </c>
      <c r="Q77" s="340"/>
      <c r="R77" s="340"/>
      <c r="S77" s="340"/>
      <c r="T77" s="340"/>
      <c r="U77" s="186">
        <f>STDEV(D$2:D77)*SQRT(252)</f>
        <v>0.20615523591080137</v>
      </c>
      <c r="V77" s="186">
        <f>STDEV(L$2:L77)*SQRT(252)</f>
        <v>0.29794414920309426</v>
      </c>
      <c r="W77" s="184">
        <f t="shared" si="23"/>
        <v>-0.42255234860873886</v>
      </c>
    </row>
    <row r="78" spans="2:23" ht="20.100000000000001" customHeight="1" x14ac:dyDescent="0.25">
      <c r="B78" s="173">
        <v>42341</v>
      </c>
      <c r="C78" s="210">
        <v>2049.62</v>
      </c>
      <c r="D78" s="172">
        <f t="shared" si="24"/>
        <v>-1.4373578391063435E-2</v>
      </c>
      <c r="E78" s="211">
        <f t="shared" si="20"/>
        <v>-2.5123190198055669E-2</v>
      </c>
      <c r="F78" s="221">
        <v>5037.5200000000004</v>
      </c>
      <c r="G78" s="172">
        <f t="shared" si="21"/>
        <v>-1.6727761056523009E-2</v>
      </c>
      <c r="H78" s="205">
        <f t="shared" si="22"/>
        <v>-1.0640846868432819E-2</v>
      </c>
      <c r="I78" s="223">
        <v>344430.58</v>
      </c>
      <c r="J78" s="174">
        <v>400000</v>
      </c>
      <c r="K78" s="174">
        <f t="shared" si="16"/>
        <v>-5210.6199999999953</v>
      </c>
      <c r="L78" s="172">
        <f t="shared" si="25"/>
        <v>-1.4902763175506763E-2</v>
      </c>
      <c r="M78" s="184">
        <f t="shared" si="18"/>
        <v>-55569.419999999984</v>
      </c>
      <c r="N78" s="186">
        <f t="shared" si="19"/>
        <v>-0.13892354999999995</v>
      </c>
      <c r="O78" s="184" t="b">
        <f t="shared" si="17"/>
        <v>0</v>
      </c>
      <c r="P78" s="186">
        <f>COUNTIF(O$2:O78, TRUE)/(COUNTIF(O$2:O78,FALSE) + COUNTIF(O$2:O78, TRUE))</f>
        <v>0.44155844155844154</v>
      </c>
      <c r="Q78" s="340"/>
      <c r="R78" s="340"/>
      <c r="S78" s="340"/>
      <c r="T78" s="340"/>
      <c r="U78" s="186">
        <f>STDEV(D$2:D78)*SQRT(252)</f>
        <v>0.20642766070992974</v>
      </c>
      <c r="V78" s="186">
        <f>STDEV(L$2:L78)*SQRT(252)</f>
        <v>0.29712936975574017</v>
      </c>
      <c r="W78" s="184">
        <f t="shared" si="23"/>
        <v>-0.46755240020265992</v>
      </c>
    </row>
    <row r="79" spans="2:23" ht="20.100000000000001" customHeight="1" x14ac:dyDescent="0.25">
      <c r="B79" s="173">
        <v>42342</v>
      </c>
      <c r="C79" s="210">
        <v>2091.69</v>
      </c>
      <c r="D79" s="172">
        <f t="shared" si="24"/>
        <v>2.0525755993794054E-2</v>
      </c>
      <c r="E79" s="211">
        <f t="shared" si="20"/>
        <v>-5.1131066760525864E-3</v>
      </c>
      <c r="F79" s="221">
        <v>5142.2700000000004</v>
      </c>
      <c r="G79" s="172">
        <f t="shared" si="21"/>
        <v>2.0793962108339021E-2</v>
      </c>
      <c r="H79" s="205">
        <f t="shared" si="22"/>
        <v>9.9318498733233732E-3</v>
      </c>
      <c r="I79" s="223">
        <v>341064.65</v>
      </c>
      <c r="J79" s="174">
        <v>400000</v>
      </c>
      <c r="K79" s="174">
        <f t="shared" si="16"/>
        <v>-3365.929999999993</v>
      </c>
      <c r="L79" s="172">
        <f t="shared" si="25"/>
        <v>-9.7724481955115388E-3</v>
      </c>
      <c r="M79" s="184">
        <f t="shared" si="18"/>
        <v>-58935.349999999977</v>
      </c>
      <c r="N79" s="186">
        <f t="shared" si="19"/>
        <v>-0.14733837499999994</v>
      </c>
      <c r="O79" s="184" t="b">
        <f t="shared" si="17"/>
        <v>0</v>
      </c>
      <c r="P79" s="186">
        <f>COUNTIF(O$2:O79, TRUE)/(COUNTIF(O$2:O79,FALSE) + COUNTIF(O$2:O79, TRUE))</f>
        <v>0.4358974358974359</v>
      </c>
      <c r="Q79" s="340"/>
      <c r="R79" s="340"/>
      <c r="S79" s="340"/>
      <c r="T79" s="340"/>
      <c r="U79" s="186">
        <f>STDEV(D$2:D79)*SQRT(252)</f>
        <v>0.2084813160993948</v>
      </c>
      <c r="V79" s="186">
        <f>STDEV(L$2:L79)*SQRT(252)</f>
        <v>0.29563649002359699</v>
      </c>
      <c r="W79" s="184">
        <f t="shared" si="23"/>
        <v>-0.49837682414724838</v>
      </c>
    </row>
    <row r="80" spans="2:23" ht="20.100000000000001" customHeight="1" x14ac:dyDescent="0.25">
      <c r="B80" s="168">
        <v>42345</v>
      </c>
      <c r="C80" s="200">
        <v>2077.0700000000002</v>
      </c>
      <c r="D80" s="172">
        <f t="shared" si="24"/>
        <v>-6.9895634630370131E-3</v>
      </c>
      <c r="E80" s="201">
        <f t="shared" si="20"/>
        <v>-1.2066931755484052E-2</v>
      </c>
      <c r="F80" s="218">
        <v>5101.8100000000004</v>
      </c>
      <c r="G80" s="172">
        <f t="shared" si="21"/>
        <v>-7.8681204993125663E-3</v>
      </c>
      <c r="H80" s="203">
        <f t="shared" si="22"/>
        <v>1.9855843824264159E-3</v>
      </c>
      <c r="I80" s="222">
        <v>323555.34000000003</v>
      </c>
      <c r="J80" s="170">
        <v>400000</v>
      </c>
      <c r="K80" s="170">
        <f t="shared" si="16"/>
        <v>-17509.309999999998</v>
      </c>
      <c r="L80" s="172">
        <f t="shared" si="25"/>
        <v>-5.1337217152231981E-2</v>
      </c>
      <c r="M80" s="177">
        <f t="shared" si="18"/>
        <v>-76444.659999999974</v>
      </c>
      <c r="N80" s="185">
        <f t="shared" si="19"/>
        <v>-0.19111164999999994</v>
      </c>
      <c r="O80" s="177" t="b">
        <f t="shared" si="17"/>
        <v>0</v>
      </c>
      <c r="P80" s="185">
        <f>COUNTIF(O$2:O80, TRUE)/(COUNTIF(O$2:O80,FALSE) + COUNTIF(O$2:O80, TRUE))</f>
        <v>0.43037974683544306</v>
      </c>
      <c r="Q80" s="339"/>
      <c r="R80" s="339"/>
      <c r="S80" s="339"/>
      <c r="T80" s="339"/>
      <c r="U80" s="185">
        <f>STDEV(D$2:D80)*SQRT(252)</f>
        <v>0.20750582350249624</v>
      </c>
      <c r="V80" s="185">
        <f>STDEV(L$2:L80)*SQRT(252)</f>
        <v>0.3074916653921197</v>
      </c>
      <c r="W80" s="177">
        <f t="shared" si="23"/>
        <v>-0.62151814669932737</v>
      </c>
    </row>
    <row r="81" spans="2:23" ht="20.100000000000001" customHeight="1" x14ac:dyDescent="0.25">
      <c r="B81" s="168">
        <v>42346</v>
      </c>
      <c r="C81" s="200">
        <v>2063.59</v>
      </c>
      <c r="D81" s="172">
        <f t="shared" si="24"/>
        <v>-6.489911269239851E-3</v>
      </c>
      <c r="E81" s="201">
        <f t="shared" si="20"/>
        <v>-1.8478529708338839E-2</v>
      </c>
      <c r="F81" s="218">
        <v>5098.24</v>
      </c>
      <c r="G81" s="172">
        <f t="shared" si="21"/>
        <v>-6.9975165676507318E-4</v>
      </c>
      <c r="H81" s="203">
        <f t="shared" si="22"/>
        <v>1.284443309700093E-3</v>
      </c>
      <c r="I81" s="222">
        <v>320909.52</v>
      </c>
      <c r="J81" s="170">
        <v>400000</v>
      </c>
      <c r="K81" s="170">
        <f t="shared" si="16"/>
        <v>-2645.820000000007</v>
      </c>
      <c r="L81" s="172">
        <f t="shared" si="25"/>
        <v>-8.1773337445149464E-3</v>
      </c>
      <c r="M81" s="177">
        <f t="shared" si="18"/>
        <v>-79090.479999999981</v>
      </c>
      <c r="N81" s="185">
        <f t="shared" si="19"/>
        <v>-0.19772619999999996</v>
      </c>
      <c r="O81" s="177" t="b">
        <f t="shared" si="17"/>
        <v>0</v>
      </c>
      <c r="P81" s="185">
        <f>COUNTIF(O$2:O81, TRUE)/(COUNTIF(O$2:O81,FALSE) + COUNTIF(O$2:O81, TRUE))</f>
        <v>0.42499999999999999</v>
      </c>
      <c r="Q81" s="339"/>
      <c r="R81" s="339"/>
      <c r="S81" s="339"/>
      <c r="T81" s="339"/>
      <c r="U81" s="185">
        <f>STDEV(D$2:D81)*SQRT(252)</f>
        <v>0.20648984597109604</v>
      </c>
      <c r="V81" s="185">
        <f>STDEV(L$2:L81)*SQRT(252)</f>
        <v>0.3057577572819663</v>
      </c>
      <c r="W81" s="177">
        <f t="shared" si="23"/>
        <v>-0.64667598872286047</v>
      </c>
    </row>
    <row r="82" spans="2:23" ht="20.100000000000001" customHeight="1" x14ac:dyDescent="0.25">
      <c r="B82" s="168">
        <v>42347</v>
      </c>
      <c r="C82" s="200">
        <v>2047.62</v>
      </c>
      <c r="D82" s="172">
        <f t="shared" si="24"/>
        <v>-7.7389403902908297E-3</v>
      </c>
      <c r="E82" s="201">
        <f t="shared" si="20"/>
        <v>-2.6074465858716617E-2</v>
      </c>
      <c r="F82" s="218">
        <v>5022.8599999999997</v>
      </c>
      <c r="G82" s="172">
        <f t="shared" si="21"/>
        <v>-1.4785494602058772E-2</v>
      </c>
      <c r="H82" s="203">
        <f t="shared" si="22"/>
        <v>-1.3520042421980899E-2</v>
      </c>
      <c r="I82" s="222">
        <v>319453.12</v>
      </c>
      <c r="J82" s="170">
        <v>400000</v>
      </c>
      <c r="K82" s="170">
        <f t="shared" si="16"/>
        <v>-1456.4000000000233</v>
      </c>
      <c r="L82" s="172">
        <f t="shared" si="25"/>
        <v>-4.5383508722334669E-3</v>
      </c>
      <c r="M82" s="177">
        <f t="shared" si="18"/>
        <v>-80546.880000000005</v>
      </c>
      <c r="N82" s="185">
        <f t="shared" si="19"/>
        <v>-0.20136720000000002</v>
      </c>
      <c r="O82" s="177" t="b">
        <f t="shared" si="17"/>
        <v>1</v>
      </c>
      <c r="P82" s="185">
        <f>COUNTIF(O$2:O82, TRUE)/(COUNTIF(O$2:O82,FALSE) + COUNTIF(O$2:O82, TRUE))</f>
        <v>0.43209876543209874</v>
      </c>
      <c r="Q82" s="339"/>
      <c r="R82" s="339"/>
      <c r="S82" s="339"/>
      <c r="T82" s="339"/>
      <c r="U82" s="185">
        <f>STDEV(D$2:D82)*SQRT(252)</f>
        <v>0.20562012018240991</v>
      </c>
      <c r="V82" s="185">
        <f>STDEV(L$2:L82)*SQRT(252)</f>
        <v>0.30386643217647319</v>
      </c>
      <c r="W82" s="177">
        <f t="shared" si="23"/>
        <v>-0.66268326697913837</v>
      </c>
    </row>
    <row r="83" spans="2:23" ht="20.100000000000001" customHeight="1" x14ac:dyDescent="0.25">
      <c r="B83" s="168">
        <v>42348</v>
      </c>
      <c r="C83" s="206">
        <v>2052.23</v>
      </c>
      <c r="D83" s="172">
        <f t="shared" si="24"/>
        <v>2.2513943016771315E-3</v>
      </c>
      <c r="E83" s="201">
        <f t="shared" si="20"/>
        <v>-2.3881775460893075E-2</v>
      </c>
      <c r="F83" s="218">
        <v>5045.17</v>
      </c>
      <c r="G83" s="172">
        <f t="shared" si="21"/>
        <v>4.4416925815173825E-3</v>
      </c>
      <c r="H83" s="203">
        <f t="shared" si="22"/>
        <v>-9.1384017125910304E-3</v>
      </c>
      <c r="I83" s="222">
        <v>324246.53999999998</v>
      </c>
      <c r="J83" s="170">
        <v>400000</v>
      </c>
      <c r="K83" s="170">
        <f t="shared" si="16"/>
        <v>4793.4199999999837</v>
      </c>
      <c r="L83" s="172">
        <f t="shared" si="25"/>
        <v>1.5005081183742965E-2</v>
      </c>
      <c r="M83" s="177">
        <f t="shared" si="18"/>
        <v>-75753.460000000021</v>
      </c>
      <c r="N83" s="185">
        <f t="shared" si="19"/>
        <v>-0.18938365000000004</v>
      </c>
      <c r="O83" s="177" t="b">
        <f t="shared" si="17"/>
        <v>1</v>
      </c>
      <c r="P83" s="185">
        <f>COUNTIF(O$2:O83, TRUE)/(COUNTIF(O$2:O83,FALSE) + COUNTIF(O$2:O83, TRUE))</f>
        <v>0.43902439024390244</v>
      </c>
      <c r="Q83" s="339"/>
      <c r="R83" s="339"/>
      <c r="S83" s="339"/>
      <c r="T83" s="339"/>
      <c r="U83" s="185">
        <f>STDEV(D$2:D83)*SQRT(252)</f>
        <v>0.20437847650239915</v>
      </c>
      <c r="V83" s="185">
        <f>STDEV(L$2:L83)*SQRT(252)</f>
        <v>0.30335650462124281</v>
      </c>
      <c r="W83" s="177">
        <f t="shared" si="23"/>
        <v>-0.62429401418788066</v>
      </c>
    </row>
    <row r="84" spans="2:23" ht="20.100000000000001" customHeight="1" x14ac:dyDescent="0.25">
      <c r="B84" s="168">
        <v>42349</v>
      </c>
      <c r="C84" s="206">
        <v>2012.37</v>
      </c>
      <c r="D84" s="172">
        <f t="shared" si="24"/>
        <v>-1.9422774250449575E-2</v>
      </c>
      <c r="E84" s="201">
        <f t="shared" si="20"/>
        <v>-4.2840699377865797E-2</v>
      </c>
      <c r="F84" s="218">
        <v>4933.47</v>
      </c>
      <c r="G84" s="172">
        <f t="shared" si="21"/>
        <v>-2.2139987354241743E-2</v>
      </c>
      <c r="H84" s="203">
        <f t="shared" si="22"/>
        <v>-3.1076064968478027E-2</v>
      </c>
      <c r="I84" s="222">
        <v>314974.52</v>
      </c>
      <c r="J84" s="170">
        <v>400000</v>
      </c>
      <c r="K84" s="170">
        <f t="shared" si="16"/>
        <v>-9272.0199999999604</v>
      </c>
      <c r="L84" s="172">
        <f t="shared" si="25"/>
        <v>-2.8595586555834832E-2</v>
      </c>
      <c r="M84" s="177">
        <f t="shared" si="18"/>
        <v>-85025.479999999981</v>
      </c>
      <c r="N84" s="185">
        <f t="shared" si="19"/>
        <v>-0.21256369999999997</v>
      </c>
      <c r="O84" s="177" t="b">
        <f t="shared" si="17"/>
        <v>0</v>
      </c>
      <c r="P84" s="185">
        <f>COUNTIF(O$2:O84, TRUE)/(COUNTIF(O$2:O84,FALSE) + COUNTIF(O$2:O84, TRUE))</f>
        <v>0.43373493975903615</v>
      </c>
      <c r="Q84" s="339"/>
      <c r="R84" s="339"/>
      <c r="S84" s="339"/>
      <c r="T84" s="339"/>
      <c r="U84" s="185">
        <f>STDEV(D$2:D84)*SQRT(252)</f>
        <v>0.20588473038733746</v>
      </c>
      <c r="V84" s="185">
        <f>STDEV(L$2:L84)*SQRT(252)</f>
        <v>0.3052608066855817</v>
      </c>
      <c r="W84" s="177">
        <f t="shared" si="23"/>
        <v>-0.69633472540397345</v>
      </c>
    </row>
    <row r="85" spans="2:23" ht="20.100000000000001" customHeight="1" x14ac:dyDescent="0.25">
      <c r="B85" s="173">
        <v>42352</v>
      </c>
      <c r="C85" s="210">
        <v>2021.94</v>
      </c>
      <c r="D85" s="172">
        <f t="shared" si="24"/>
        <v>4.7555866962835681E-3</v>
      </c>
      <c r="E85" s="211">
        <f t="shared" ref="E85:E95" si="26">(C85-$C$2)/$C$2</f>
        <v>-3.8288845341603088E-2</v>
      </c>
      <c r="F85" s="221">
        <v>4871.59</v>
      </c>
      <c r="G85" s="172">
        <f t="shared" si="21"/>
        <v>-1.2542895771130685E-2</v>
      </c>
      <c r="H85" s="205">
        <f t="shared" ref="H85:H106" si="27">(F85-F$2)/F$2</f>
        <v>-4.3229176895732205E-2</v>
      </c>
      <c r="I85" s="223">
        <f>400000-82872.25</f>
        <v>317127.75</v>
      </c>
      <c r="J85" s="174">
        <v>400000</v>
      </c>
      <c r="K85" s="174">
        <f t="shared" si="16"/>
        <v>2153.2299999999814</v>
      </c>
      <c r="L85" s="172">
        <f t="shared" si="25"/>
        <v>6.8362037665776303E-3</v>
      </c>
      <c r="M85" s="184">
        <f t="shared" si="18"/>
        <v>-82872.25</v>
      </c>
      <c r="N85" s="186">
        <f t="shared" si="19"/>
        <v>-0.20718062500000001</v>
      </c>
      <c r="O85" s="184" t="b">
        <f t="shared" si="17"/>
        <v>1</v>
      </c>
      <c r="P85" s="186">
        <f>COUNTIF(O$2:O85, TRUE)/(COUNTIF(O$2:O85,FALSE) + COUNTIF(O$2:O85, TRUE))</f>
        <v>0.44047619047619047</v>
      </c>
      <c r="Q85" s="340"/>
      <c r="R85" s="340"/>
      <c r="S85" s="340"/>
      <c r="T85" s="340"/>
      <c r="U85" s="186">
        <f>STDEV(D$2:D85)*SQRT(252)</f>
        <v>0.20482646913198044</v>
      </c>
      <c r="V85" s="186">
        <f>STDEV(L$2:L85)*SQRT(252)</f>
        <v>0.30374972032355096</v>
      </c>
      <c r="W85" s="184">
        <f t="shared" si="23"/>
        <v>-0.68207675970635762</v>
      </c>
    </row>
    <row r="86" spans="2:23" ht="20.100000000000001" customHeight="1" x14ac:dyDescent="0.25">
      <c r="B86" s="173">
        <v>42353</v>
      </c>
      <c r="C86" s="210">
        <v>2043.41</v>
      </c>
      <c r="D86" s="172">
        <f t="shared" si="24"/>
        <v>1.0618514891638736E-2</v>
      </c>
      <c r="E86" s="211">
        <f t="shared" si="26"/>
        <v>-2.8076901124407819E-2</v>
      </c>
      <c r="F86" s="221">
        <v>4986.99</v>
      </c>
      <c r="G86" s="172">
        <f t="shared" si="21"/>
        <v>2.3688364579120911E-2</v>
      </c>
      <c r="H86" s="205">
        <f t="shared" si="27"/>
        <v>-2.0564840819372713E-2</v>
      </c>
      <c r="I86" s="223">
        <v>315111.13</v>
      </c>
      <c r="J86" s="174">
        <v>400000</v>
      </c>
      <c r="K86" s="174">
        <f t="shared" si="16"/>
        <v>-2016.6199999999953</v>
      </c>
      <c r="L86" s="172">
        <f t="shared" si="25"/>
        <v>-6.3590146242326487E-3</v>
      </c>
      <c r="M86" s="184">
        <f t="shared" si="18"/>
        <v>-84888.87</v>
      </c>
      <c r="N86" s="186">
        <f t="shared" si="19"/>
        <v>-0.21222217499999999</v>
      </c>
      <c r="O86" s="184" t="b">
        <f t="shared" si="17"/>
        <v>0</v>
      </c>
      <c r="P86" s="186">
        <f>COUNTIF(O$2:O86, TRUE)/(COUNTIF(O$2:O86,FALSE) + COUNTIF(O$2:O86, TRUE))</f>
        <v>0.43529411764705883</v>
      </c>
      <c r="Q86" s="340"/>
      <c r="R86" s="340"/>
      <c r="S86" s="340"/>
      <c r="T86" s="340"/>
      <c r="U86" s="186">
        <f>STDEV(D$2:D86)*SQRT(252)</f>
        <v>0.20447942963510182</v>
      </c>
      <c r="V86" s="186">
        <f>STDEV(L$2:L86)*SQRT(252)</f>
        <v>0.30203167512176549</v>
      </c>
      <c r="W86" s="184">
        <f t="shared" si="23"/>
        <v>-0.70264873680696449</v>
      </c>
    </row>
    <row r="87" spans="2:23" ht="20.100000000000001" customHeight="1" x14ac:dyDescent="0.25">
      <c r="B87" s="173">
        <v>42354</v>
      </c>
      <c r="C87" s="210">
        <v>2073.0700000000002</v>
      </c>
      <c r="D87" s="172">
        <f t="shared" si="24"/>
        <v>1.4514952946300586E-2</v>
      </c>
      <c r="E87" s="211">
        <f t="shared" si="26"/>
        <v>-1.3969483076805945E-2</v>
      </c>
      <c r="F87" s="221">
        <v>4992.63</v>
      </c>
      <c r="G87" s="172">
        <f t="shared" si="21"/>
        <v>1.1309427129391331E-3</v>
      </c>
      <c r="H87" s="205">
        <f t="shared" si="27"/>
        <v>-1.9457155763301003E-2</v>
      </c>
      <c r="I87" s="223">
        <v>320067.34000000003</v>
      </c>
      <c r="J87" s="174">
        <v>400000</v>
      </c>
      <c r="K87" s="174">
        <f t="shared" si="16"/>
        <v>4956.210000000021</v>
      </c>
      <c r="L87" s="172">
        <f t="shared" si="25"/>
        <v>1.5728451102314352E-2</v>
      </c>
      <c r="M87" s="184">
        <f t="shared" si="18"/>
        <v>-79932.659999999974</v>
      </c>
      <c r="N87" s="186">
        <f t="shared" si="19"/>
        <v>-0.19983164999999994</v>
      </c>
      <c r="O87" s="184" t="b">
        <f t="shared" si="17"/>
        <v>1</v>
      </c>
      <c r="P87" s="186">
        <f>COUNTIF(O$2:O87, TRUE)/(COUNTIF(O$2:O87,FALSE) + COUNTIF(O$2:O87, TRUE))</f>
        <v>0.44186046511627908</v>
      </c>
      <c r="Q87" s="340"/>
      <c r="R87" s="340"/>
      <c r="S87" s="340"/>
      <c r="T87" s="340"/>
      <c r="U87" s="186">
        <f>STDEV(D$2:D87)*SQRT(252)</f>
        <v>0.20484383238315154</v>
      </c>
      <c r="V87" s="186">
        <f>STDEV(L$2:L87)*SQRT(252)</f>
        <v>0.30170012255410639</v>
      </c>
      <c r="W87" s="184">
        <f t="shared" si="23"/>
        <v>-0.66235190197565297</v>
      </c>
    </row>
    <row r="88" spans="2:23" ht="20.100000000000001" customHeight="1" x14ac:dyDescent="0.25">
      <c r="B88" s="173">
        <v>42355</v>
      </c>
      <c r="C88" s="210">
        <v>2041.89</v>
      </c>
      <c r="D88" s="172">
        <f t="shared" si="24"/>
        <v>-1.5040495497016531E-2</v>
      </c>
      <c r="E88" s="211">
        <f t="shared" si="26"/>
        <v>-2.8799870626510127E-2</v>
      </c>
      <c r="F88" s="221">
        <v>5002.55</v>
      </c>
      <c r="G88" s="172">
        <f t="shared" si="21"/>
        <v>1.9869287329523865E-3</v>
      </c>
      <c r="H88" s="205">
        <f t="shared" si="27"/>
        <v>-1.7508887012196248E-2</v>
      </c>
      <c r="I88" s="223">
        <v>314862.69</v>
      </c>
      <c r="J88" s="174">
        <v>400000</v>
      </c>
      <c r="K88" s="174">
        <f t="shared" ref="K88:K119" si="28">I88-I87-J88+J87</f>
        <v>-5204.6500000000233</v>
      </c>
      <c r="L88" s="172">
        <f t="shared" si="25"/>
        <v>-1.6261109302811161E-2</v>
      </c>
      <c r="M88" s="184">
        <f t="shared" si="18"/>
        <v>-85137.31</v>
      </c>
      <c r="N88" s="186">
        <f t="shared" si="19"/>
        <v>-0.212843275</v>
      </c>
      <c r="O88" s="184" t="b">
        <f t="shared" si="17"/>
        <v>0</v>
      </c>
      <c r="P88" s="186">
        <f>COUNTIF(O$2:O88, TRUE)/(COUNTIF(O$2:O88,FALSE) + COUNTIF(O$2:O88, TRUE))</f>
        <v>0.43678160919540232</v>
      </c>
      <c r="Q88" s="340"/>
      <c r="R88" s="340"/>
      <c r="S88" s="340"/>
      <c r="T88" s="340"/>
      <c r="U88" s="186">
        <f>STDEV(D$2:D88)*SQRT(252)</f>
        <v>0.20523864420055984</v>
      </c>
      <c r="V88" s="186">
        <f>STDEV(L$2:L88)*SQRT(252)</f>
        <v>0.30100381031831397</v>
      </c>
      <c r="W88" s="184">
        <f t="shared" si="23"/>
        <v>-0.70711156372046091</v>
      </c>
    </row>
    <row r="89" spans="2:23" ht="20.100000000000001" customHeight="1" x14ac:dyDescent="0.25">
      <c r="B89" s="173">
        <v>42356</v>
      </c>
      <c r="C89" s="210">
        <v>2005.52</v>
      </c>
      <c r="D89" s="172">
        <f t="shared" si="24"/>
        <v>-1.7811929144077358E-2</v>
      </c>
      <c r="E89" s="211">
        <f t="shared" si="26"/>
        <v>-4.609881851562949E-2</v>
      </c>
      <c r="F89" s="221">
        <v>4923.08</v>
      </c>
      <c r="G89" s="172">
        <f t="shared" si="21"/>
        <v>-1.5885898191922172E-2</v>
      </c>
      <c r="H89" s="205">
        <f t="shared" si="27"/>
        <v>-3.3116640807588804E-2</v>
      </c>
      <c r="I89" s="223">
        <v>315502.05</v>
      </c>
      <c r="J89" s="174">
        <v>400000</v>
      </c>
      <c r="K89" s="174">
        <f t="shared" si="28"/>
        <v>639.35999999998603</v>
      </c>
      <c r="L89" s="172">
        <f t="shared" si="25"/>
        <v>2.0305994336769022E-3</v>
      </c>
      <c r="M89" s="184">
        <f t="shared" si="18"/>
        <v>-84497.950000000012</v>
      </c>
      <c r="N89" s="186">
        <f t="shared" si="19"/>
        <v>-0.21124487500000003</v>
      </c>
      <c r="O89" s="184" t="b">
        <f t="shared" si="17"/>
        <v>1</v>
      </c>
      <c r="P89" s="186">
        <f>COUNTIF(O$2:O89, TRUE)/(COUNTIF(O$2:O89,FALSE) + COUNTIF(O$2:O89, TRUE))</f>
        <v>0.44318181818181818</v>
      </c>
      <c r="Q89" s="340"/>
      <c r="R89" s="340"/>
      <c r="S89" s="340"/>
      <c r="T89" s="340"/>
      <c r="U89" s="186">
        <f>STDEV(D$2:D89)*SQRT(252)</f>
        <v>0.20621771492919441</v>
      </c>
      <c r="V89" s="186">
        <f>STDEV(L$2:L89)*SQRT(252)</f>
        <v>0.29930992001467371</v>
      </c>
      <c r="W89" s="184">
        <f t="shared" si="23"/>
        <v>-0.70577304951885234</v>
      </c>
    </row>
    <row r="90" spans="2:23" ht="20.100000000000001" customHeight="1" x14ac:dyDescent="0.25">
      <c r="B90" s="168">
        <v>42359</v>
      </c>
      <c r="C90" s="200">
        <v>2021.15</v>
      </c>
      <c r="D90" s="172">
        <f t="shared" si="24"/>
        <v>7.7934899676892324E-3</v>
      </c>
      <c r="E90" s="201">
        <f t="shared" si="26"/>
        <v>-3.8664599227564142E-2</v>
      </c>
      <c r="F90" s="218">
        <v>4968.92</v>
      </c>
      <c r="G90" s="172">
        <f t="shared" si="21"/>
        <v>9.3112441804724163E-3</v>
      </c>
      <c r="H90" s="203">
        <f t="shared" si="27"/>
        <v>-2.4113753756112841E-2</v>
      </c>
      <c r="I90" s="222">
        <v>320825.06</v>
      </c>
      <c r="J90" s="170">
        <v>400000</v>
      </c>
      <c r="K90" s="170">
        <f t="shared" si="28"/>
        <v>5323.0100000000093</v>
      </c>
      <c r="L90" s="172">
        <f t="shared" si="25"/>
        <v>1.6871554400359711E-2</v>
      </c>
      <c r="M90" s="177">
        <f t="shared" si="18"/>
        <v>-79174.94</v>
      </c>
      <c r="N90" s="185">
        <f t="shared" si="19"/>
        <v>-0.19793735000000001</v>
      </c>
      <c r="O90" s="177" t="b">
        <f t="shared" si="17"/>
        <v>1</v>
      </c>
      <c r="P90" s="185">
        <f>COUNTIF(O$2:O90, TRUE)/(COUNTIF(O$2:O90,FALSE) + COUNTIF(O$2:O90, TRUE))</f>
        <v>0.449438202247191</v>
      </c>
      <c r="Q90" s="339"/>
      <c r="R90" s="339"/>
      <c r="S90" s="339"/>
      <c r="T90" s="339"/>
      <c r="U90" s="185">
        <f>STDEV(D$2:D90)*SQRT(252)</f>
        <v>0.20550415563548391</v>
      </c>
      <c r="V90" s="185">
        <f>STDEV(L$2:L90)*SQRT(252)</f>
        <v>0.29920187088435746</v>
      </c>
      <c r="W90" s="177">
        <f t="shared" si="23"/>
        <v>-0.6615511775208901</v>
      </c>
    </row>
    <row r="91" spans="2:23" ht="20.100000000000001" customHeight="1" x14ac:dyDescent="0.25">
      <c r="B91" s="168">
        <v>42360</v>
      </c>
      <c r="C91" s="200">
        <v>2038.97</v>
      </c>
      <c r="D91" s="172">
        <f t="shared" si="24"/>
        <v>8.8167627340869983E-3</v>
      </c>
      <c r="E91" s="201">
        <f t="shared" si="26"/>
        <v>-3.0188733091075143E-2</v>
      </c>
      <c r="F91" s="218">
        <v>5001.1099999999997</v>
      </c>
      <c r="G91" s="172">
        <f t="shared" si="21"/>
        <v>6.4782689196041798E-3</v>
      </c>
      <c r="H91" s="203">
        <f t="shared" si="27"/>
        <v>-1.7791700218001874E-2</v>
      </c>
      <c r="I91" s="222">
        <v>321902.78000000003</v>
      </c>
      <c r="J91" s="170">
        <v>400000</v>
      </c>
      <c r="K91" s="170">
        <f t="shared" si="28"/>
        <v>1077.7200000000303</v>
      </c>
      <c r="L91" s="172">
        <f t="shared" si="25"/>
        <v>3.3592138968197506E-3</v>
      </c>
      <c r="M91" s="177">
        <f t="shared" si="18"/>
        <v>-78097.219999999972</v>
      </c>
      <c r="N91" s="185">
        <f t="shared" si="19"/>
        <v>-0.19524304999999992</v>
      </c>
      <c r="O91" s="177" t="b">
        <f t="shared" ref="O91:O122" si="29">L91&gt;D91</f>
        <v>0</v>
      </c>
      <c r="P91" s="185">
        <f>COUNTIF(O$2:O91, TRUE)/(COUNTIF(O$2:O91,FALSE) + COUNTIF(O$2:O91, TRUE))</f>
        <v>0.44444444444444442</v>
      </c>
      <c r="Q91" s="339"/>
      <c r="R91" s="339"/>
      <c r="S91" s="339"/>
      <c r="T91" s="339"/>
      <c r="U91" s="185">
        <f>STDEV(D$2:D91)*SQRT(252)</f>
        <v>0.20491645962952909</v>
      </c>
      <c r="V91" s="185">
        <f>STDEV(L$2:L91)*SQRT(252)</f>
        <v>0.29759929719842121</v>
      </c>
      <c r="W91" s="177">
        <f t="shared" si="23"/>
        <v>-0.65606018508109465</v>
      </c>
    </row>
    <row r="92" spans="2:23" ht="20.100000000000001" customHeight="1" x14ac:dyDescent="0.25">
      <c r="B92" s="168">
        <v>42361</v>
      </c>
      <c r="C92" s="200">
        <v>2064.29</v>
      </c>
      <c r="D92" s="172">
        <f t="shared" si="24"/>
        <v>1.2418034595898879E-2</v>
      </c>
      <c r="E92" s="201">
        <f t="shared" si="26"/>
        <v>-1.8145583227107593E-2</v>
      </c>
      <c r="F92" s="218">
        <v>5045.93</v>
      </c>
      <c r="G92" s="172">
        <f t="shared" si="21"/>
        <v>8.9620104336838469E-3</v>
      </c>
      <c r="H92" s="203">
        <f t="shared" si="27"/>
        <v>-8.9891391873047361E-3</v>
      </c>
      <c r="I92" s="222">
        <v>330734.09999999998</v>
      </c>
      <c r="J92" s="170">
        <v>400000</v>
      </c>
      <c r="K92" s="170">
        <f t="shared" si="28"/>
        <v>8831.3199999999488</v>
      </c>
      <c r="L92" s="172">
        <f t="shared" si="25"/>
        <v>2.7434742874851679E-2</v>
      </c>
      <c r="M92" s="177">
        <f t="shared" si="18"/>
        <v>-69265.900000000023</v>
      </c>
      <c r="N92" s="185">
        <f t="shared" si="19"/>
        <v>-0.17316475000000006</v>
      </c>
      <c r="O92" s="177" t="b">
        <f t="shared" si="29"/>
        <v>1</v>
      </c>
      <c r="P92" s="185">
        <f>COUNTIF(O$2:O92, TRUE)/(COUNTIF(O$2:O92,FALSE) + COUNTIF(O$2:O92, TRUE))</f>
        <v>0.45054945054945056</v>
      </c>
      <c r="Q92" s="339"/>
      <c r="R92" s="339"/>
      <c r="S92" s="339"/>
      <c r="T92" s="339"/>
      <c r="U92" s="185">
        <f>STDEV(D$2:D92)*SQRT(252)</f>
        <v>0.20486368921422393</v>
      </c>
      <c r="V92" s="185">
        <f>STDEV(L$2:L92)*SQRT(252)</f>
        <v>0.29978352577242878</v>
      </c>
      <c r="W92" s="177">
        <f t="shared" si="23"/>
        <v>-0.57763264193327502</v>
      </c>
    </row>
    <row r="93" spans="2:23" ht="20.100000000000001" customHeight="1" x14ac:dyDescent="0.25">
      <c r="B93" s="168">
        <v>42362</v>
      </c>
      <c r="C93" s="206">
        <v>2060.9899999999998</v>
      </c>
      <c r="D93" s="172">
        <f t="shared" si="24"/>
        <v>-1.5986125980362168E-3</v>
      </c>
      <c r="E93" s="201">
        <f t="shared" si="26"/>
        <v>-1.9715188067198242E-2</v>
      </c>
      <c r="F93" s="218">
        <v>5048.49</v>
      </c>
      <c r="G93" s="172">
        <f t="shared" si="21"/>
        <v>5.0733957863059742E-4</v>
      </c>
      <c r="H93" s="203">
        <f t="shared" si="27"/>
        <v>-8.4863601547616793E-3</v>
      </c>
      <c r="I93" s="222">
        <v>331472.32</v>
      </c>
      <c r="J93" s="170">
        <v>400000</v>
      </c>
      <c r="K93" s="170">
        <f t="shared" si="28"/>
        <v>738.22000000003027</v>
      </c>
      <c r="L93" s="172">
        <f t="shared" si="25"/>
        <v>2.2320649730403676E-3</v>
      </c>
      <c r="M93" s="177">
        <f t="shared" si="18"/>
        <v>-68527.679999999993</v>
      </c>
      <c r="N93" s="185">
        <f t="shared" si="19"/>
        <v>-0.17131919999999998</v>
      </c>
      <c r="O93" s="177" t="b">
        <f t="shared" si="29"/>
        <v>1</v>
      </c>
      <c r="P93" s="185">
        <f>COUNTIF(O$2:O93, TRUE)/(COUNTIF(O$2:O93,FALSE) + COUNTIF(O$2:O93, TRUE))</f>
        <v>0.45652173913043476</v>
      </c>
      <c r="Q93" s="339"/>
      <c r="R93" s="339"/>
      <c r="S93" s="339"/>
      <c r="T93" s="339"/>
      <c r="U93" s="185">
        <f>STDEV(D$2:D93)*SQRT(252)</f>
        <v>0.20373721805124861</v>
      </c>
      <c r="V93" s="185">
        <f>STDEV(L$2:L93)*SQRT(252)</f>
        <v>0.29815917239051543</v>
      </c>
      <c r="W93" s="177">
        <f t="shared" si="23"/>
        <v>-0.57458973549743364</v>
      </c>
    </row>
    <row r="94" spans="2:23" ht="20.100000000000001" customHeight="1" x14ac:dyDescent="0.25">
      <c r="B94" s="173">
        <v>42366</v>
      </c>
      <c r="C94" s="217">
        <v>2056.5</v>
      </c>
      <c r="D94" s="172">
        <f t="shared" si="24"/>
        <v>-2.178564670376752E-3</v>
      </c>
      <c r="E94" s="211">
        <f t="shared" si="26"/>
        <v>-2.1850801925381962E-2</v>
      </c>
      <c r="F94" s="221">
        <v>5040.99</v>
      </c>
      <c r="G94" s="172">
        <f t="shared" si="21"/>
        <v>-1.4855927217841374E-3</v>
      </c>
      <c r="H94" s="205">
        <f t="shared" si="27"/>
        <v>-9.9593456016654636E-3</v>
      </c>
      <c r="I94" s="223">
        <v>324433.87</v>
      </c>
      <c r="J94" s="174">
        <v>400000</v>
      </c>
      <c r="K94" s="174">
        <f t="shared" si="28"/>
        <v>-7038.4500000000116</v>
      </c>
      <c r="L94" s="172">
        <f t="shared" si="25"/>
        <v>-2.1233899711445021E-2</v>
      </c>
      <c r="M94" s="184">
        <f t="shared" ref="M94:M125" si="30">I94-J94</f>
        <v>-75566.13</v>
      </c>
      <c r="N94" s="186">
        <f t="shared" ref="N94:N125" si="31">M94/J94</f>
        <v>-0.18891532500000002</v>
      </c>
      <c r="O94" s="184" t="b">
        <f t="shared" si="29"/>
        <v>0</v>
      </c>
      <c r="P94" s="186">
        <f>COUNTIF(O$2:O94, TRUE)/(COUNTIF(O$2:O94,FALSE) + COUNTIF(O$2:O94, TRUE))</f>
        <v>0.45161290322580644</v>
      </c>
      <c r="Q94" s="340"/>
      <c r="R94" s="340"/>
      <c r="S94" s="340"/>
      <c r="T94" s="340"/>
      <c r="U94" s="186">
        <f>STDEV(D$2:D94)*SQRT(252)</f>
        <v>0.20264285644820698</v>
      </c>
      <c r="V94" s="186">
        <f>STDEV(L$2:L94)*SQRT(252)</f>
        <v>0.29842518034690152</v>
      </c>
      <c r="W94" s="184">
        <f t="shared" si="23"/>
        <v>-0.63304083382105092</v>
      </c>
    </row>
    <row r="95" spans="2:23" ht="20.100000000000001" customHeight="1" x14ac:dyDescent="0.25">
      <c r="B95" s="173">
        <v>42367</v>
      </c>
      <c r="C95" s="210">
        <v>2078.36</v>
      </c>
      <c r="D95" s="172">
        <f t="shared" si="24"/>
        <v>1.0629710673474412E-2</v>
      </c>
      <c r="E95" s="211">
        <f t="shared" si="26"/>
        <v>-1.1453358954357758E-2</v>
      </c>
      <c r="F95" s="221">
        <v>5107.9399999999996</v>
      </c>
      <c r="G95" s="172">
        <f t="shared" si="21"/>
        <v>1.3281121367033027E-2</v>
      </c>
      <c r="H95" s="205">
        <f t="shared" si="27"/>
        <v>3.1895044876956188E-3</v>
      </c>
      <c r="I95" s="223">
        <v>326263</v>
      </c>
      <c r="J95" s="174">
        <v>400000</v>
      </c>
      <c r="K95" s="174">
        <f t="shared" si="28"/>
        <v>1829.1300000000047</v>
      </c>
      <c r="L95" s="172">
        <f t="shared" si="25"/>
        <v>5.6379132055478813E-3</v>
      </c>
      <c r="M95" s="184">
        <f t="shared" si="30"/>
        <v>-73737</v>
      </c>
      <c r="N95" s="186">
        <f t="shared" si="31"/>
        <v>-0.18434249999999999</v>
      </c>
      <c r="O95" s="184" t="b">
        <f t="shared" si="29"/>
        <v>0</v>
      </c>
      <c r="P95" s="186">
        <f>COUNTIF(O$2:O95, TRUE)/(COUNTIF(O$2:O95,FALSE) + COUNTIF(O$2:O95, TRUE))</f>
        <v>0.44680851063829785</v>
      </c>
      <c r="Q95" s="340"/>
      <c r="R95" s="340"/>
      <c r="S95" s="340"/>
      <c r="T95" s="340"/>
      <c r="U95" s="186">
        <f>STDEV(D$2:D95)*SQRT(252)</f>
        <v>0.2023195411541808</v>
      </c>
      <c r="V95" s="186">
        <f>STDEV(L$2:L95)*SQRT(252)</f>
        <v>0.29700566198828871</v>
      </c>
      <c r="W95" s="184">
        <f t="shared" si="23"/>
        <v>-0.620669985770402</v>
      </c>
    </row>
    <row r="96" spans="2:23" ht="20.100000000000001" customHeight="1" x14ac:dyDescent="0.25">
      <c r="B96" s="173">
        <v>42368</v>
      </c>
      <c r="C96" s="210">
        <v>2063.36</v>
      </c>
      <c r="D96" s="172">
        <f t="shared" si="24"/>
        <v>-7.2172289689947837E-3</v>
      </c>
      <c r="E96" s="211">
        <f>(C96-$C$2)/$C$2</f>
        <v>-1.8587926409314857E-2</v>
      </c>
      <c r="F96" s="221">
        <v>5065.84</v>
      </c>
      <c r="G96" s="172">
        <f t="shared" si="21"/>
        <v>-8.242070188764836E-3</v>
      </c>
      <c r="H96" s="205">
        <f t="shared" si="27"/>
        <v>-5.0788538209241849E-3</v>
      </c>
      <c r="I96" s="223">
        <v>318053.19</v>
      </c>
      <c r="J96" s="174">
        <v>400000</v>
      </c>
      <c r="K96" s="174">
        <f t="shared" si="28"/>
        <v>-8209.8099999999977</v>
      </c>
      <c r="L96" s="172">
        <f t="shared" si="25"/>
        <v>-2.5163165912162881E-2</v>
      </c>
      <c r="M96" s="184">
        <f t="shared" si="30"/>
        <v>-81946.81</v>
      </c>
      <c r="N96" s="186">
        <f t="shared" si="31"/>
        <v>-0.20486702499999998</v>
      </c>
      <c r="O96" s="184" t="b">
        <f t="shared" si="29"/>
        <v>0</v>
      </c>
      <c r="P96" s="186">
        <f>COUNTIF(O$2:O96, TRUE)/(COUNTIF(O$2:O96,FALSE) + COUNTIF(O$2:O96, TRUE))</f>
        <v>0.44210526315789472</v>
      </c>
      <c r="Q96" s="340"/>
      <c r="R96" s="340"/>
      <c r="S96" s="340"/>
      <c r="T96" s="340"/>
      <c r="U96" s="186">
        <f>STDEV(D$2:D96)*SQRT(252)</f>
        <v>0.20157138397467259</v>
      </c>
      <c r="V96" s="186">
        <f>STDEV(L$2:L96)*SQRT(252)</f>
        <v>0.29803742324397353</v>
      </c>
      <c r="W96" s="184">
        <f t="shared" si="23"/>
        <v>-0.68738691527438067</v>
      </c>
    </row>
    <row r="97" spans="2:23" ht="20.100000000000001" customHeight="1" x14ac:dyDescent="0.25">
      <c r="B97" s="173">
        <v>42369</v>
      </c>
      <c r="C97" s="210">
        <v>2043.94</v>
      </c>
      <c r="D97" s="172">
        <f t="shared" si="24"/>
        <v>-9.4118331265509031E-3</v>
      </c>
      <c r="E97" s="211">
        <f>(C97-$C$2)/$C$2</f>
        <v>-2.7824813074332679E-2</v>
      </c>
      <c r="F97" s="221">
        <v>5007.41</v>
      </c>
      <c r="G97" s="172">
        <f t="shared" si="21"/>
        <v>-1.1534118724634076E-2</v>
      </c>
      <c r="H97" s="205">
        <f t="shared" si="27"/>
        <v>-1.655439244260266E-2</v>
      </c>
      <c r="I97" s="420">
        <v>320884.32</v>
      </c>
      <c r="J97" s="174">
        <v>400000</v>
      </c>
      <c r="K97" s="174">
        <f t="shared" si="28"/>
        <v>2831.1300000000047</v>
      </c>
      <c r="L97" s="172">
        <f t="shared" si="25"/>
        <v>8.9014356372278634E-3</v>
      </c>
      <c r="M97" s="184">
        <f t="shared" si="30"/>
        <v>-79115.679999999993</v>
      </c>
      <c r="N97" s="186">
        <f t="shared" si="31"/>
        <v>-0.19778919999999997</v>
      </c>
      <c r="O97" s="184" t="b">
        <f t="shared" si="29"/>
        <v>1</v>
      </c>
      <c r="P97" s="186">
        <f>COUNTIF(O$2:O97, TRUE)/(COUNTIF(O$2:O97,FALSE) + COUNTIF(O$2:O97, TRUE))</f>
        <v>0.44791666666666669</v>
      </c>
      <c r="Q97" s="340"/>
      <c r="R97" s="340"/>
      <c r="S97" s="340"/>
      <c r="T97" s="340"/>
      <c r="U97" s="186">
        <f>STDEV(D$2:D97)*SQRT(252)</f>
        <v>0.20106669704355981</v>
      </c>
      <c r="V97" s="186">
        <f>STDEV(L$2:L97)*SQRT(252)</f>
        <v>0.29691114338787766</v>
      </c>
      <c r="W97" s="184">
        <f t="shared" si="23"/>
        <v>-0.66615620331101166</v>
      </c>
    </row>
    <row r="98" spans="2:23" ht="20.100000000000001" customHeight="1" x14ac:dyDescent="0.25">
      <c r="B98" s="168">
        <v>42373</v>
      </c>
      <c r="C98" s="200">
        <v>2012.66</v>
      </c>
      <c r="D98" s="172">
        <f t="shared" si="24"/>
        <v>-1.5303776040392561E-2</v>
      </c>
      <c r="E98" s="201">
        <f t="shared" ref="E98:E103" si="32">(C98-$C$2)/$C$2</f>
        <v>-4.2702764407069868E-2</v>
      </c>
      <c r="F98" s="218">
        <v>4903.08</v>
      </c>
      <c r="G98" s="172">
        <f t="shared" si="21"/>
        <v>-2.0835122348679243E-2</v>
      </c>
      <c r="H98" s="203">
        <f t="shared" si="27"/>
        <v>-3.7044601999332225E-2</v>
      </c>
      <c r="I98" s="222">
        <v>323756.46999999997</v>
      </c>
      <c r="J98" s="170">
        <v>400000</v>
      </c>
      <c r="K98" s="170">
        <f t="shared" si="28"/>
        <v>2872.1499999999651</v>
      </c>
      <c r="L98" s="172">
        <f t="shared" si="25"/>
        <v>8.950733398253816E-3</v>
      </c>
      <c r="M98" s="177">
        <f t="shared" si="30"/>
        <v>-76243.530000000028</v>
      </c>
      <c r="N98" s="185">
        <f t="shared" si="31"/>
        <v>-0.19060882500000007</v>
      </c>
      <c r="O98" s="177" t="b">
        <f t="shared" si="29"/>
        <v>1</v>
      </c>
      <c r="P98" s="185">
        <f>COUNTIF(O$2:O98, TRUE)/(COUNTIF(O$2:O98,FALSE) + COUNTIF(O$2:O98, TRUE))</f>
        <v>0.45360824742268041</v>
      </c>
      <c r="Q98" s="339"/>
      <c r="R98" s="339"/>
      <c r="S98" s="339"/>
      <c r="T98" s="339"/>
      <c r="U98" s="185">
        <f>STDEV(D$2:D98)*SQRT(252)</f>
        <v>0.20149367115092381</v>
      </c>
      <c r="V98" s="185">
        <f>STDEV(L$2:L98)*SQRT(252)</f>
        <v>0.29579926006722401</v>
      </c>
      <c r="W98" s="177">
        <f t="shared" si="23"/>
        <v>-0.6443857396961773</v>
      </c>
    </row>
    <row r="99" spans="2:23" ht="20.100000000000001" customHeight="1" x14ac:dyDescent="0.25">
      <c r="B99" s="168">
        <v>42374</v>
      </c>
      <c r="C99" s="200">
        <v>2016.71</v>
      </c>
      <c r="D99" s="172">
        <f t="shared" si="24"/>
        <v>2.0122623791400209E-3</v>
      </c>
      <c r="E99" s="201">
        <f t="shared" si="32"/>
        <v>-4.0776431194231473E-2</v>
      </c>
      <c r="F99" s="218">
        <v>4891.43</v>
      </c>
      <c r="G99" s="172">
        <f t="shared" si="21"/>
        <v>-2.3760574985518565E-3</v>
      </c>
      <c r="H99" s="203">
        <f t="shared" si="27"/>
        <v>-3.9332639393522703E-2</v>
      </c>
      <c r="I99" s="222">
        <v>326120.51</v>
      </c>
      <c r="J99" s="170">
        <v>400000</v>
      </c>
      <c r="K99" s="170">
        <f t="shared" si="28"/>
        <v>2364.0400000000373</v>
      </c>
      <c r="L99" s="172">
        <f t="shared" si="25"/>
        <v>7.3019081286623787E-3</v>
      </c>
      <c r="M99" s="177">
        <f t="shared" si="30"/>
        <v>-73879.489999999991</v>
      </c>
      <c r="N99" s="185">
        <f t="shared" si="31"/>
        <v>-0.18469872499999998</v>
      </c>
      <c r="O99" s="177" t="b">
        <f t="shared" si="29"/>
        <v>1</v>
      </c>
      <c r="P99" s="185">
        <f>COUNTIF(O$2:O99, TRUE)/(COUNTIF(O$2:O99,FALSE) + COUNTIF(O$2:O99, TRUE))</f>
        <v>0.45918367346938777</v>
      </c>
      <c r="Q99" s="339"/>
      <c r="R99" s="339"/>
      <c r="S99" s="339"/>
      <c r="T99" s="339"/>
      <c r="U99" s="185">
        <f>STDEV(D$2:D99)*SQRT(252)</f>
        <v>0.20047839614181759</v>
      </c>
      <c r="V99" s="185">
        <f>STDEV(L$2:L99)*SQRT(252)</f>
        <v>0.29456352660323443</v>
      </c>
      <c r="W99" s="177">
        <f t="shared" si="23"/>
        <v>-0.62702510093444785</v>
      </c>
    </row>
    <row r="100" spans="2:23" ht="20.100000000000001" customHeight="1" x14ac:dyDescent="0.25">
      <c r="B100" s="168">
        <v>42375</v>
      </c>
      <c r="C100" s="200">
        <v>1990.26</v>
      </c>
      <c r="D100" s="172">
        <f t="shared" si="24"/>
        <v>-1.3115420660382527E-2</v>
      </c>
      <c r="E100" s="201">
        <f t="shared" si="32"/>
        <v>-5.3357051806472509E-2</v>
      </c>
      <c r="F100" s="218">
        <v>4835.76</v>
      </c>
      <c r="G100" s="172">
        <f t="shared" si="21"/>
        <v>-1.1381129853641996E-2</v>
      </c>
      <c r="H100" s="203">
        <f t="shared" si="27"/>
        <v>-5.026611937074054E-2</v>
      </c>
      <c r="I100" s="222">
        <v>307215.3</v>
      </c>
      <c r="J100" s="170">
        <v>400000</v>
      </c>
      <c r="K100" s="170">
        <f t="shared" si="28"/>
        <v>-18905.210000000021</v>
      </c>
      <c r="L100" s="172">
        <f t="shared" si="25"/>
        <v>-5.7970012373646844E-2</v>
      </c>
      <c r="M100" s="177">
        <f t="shared" si="30"/>
        <v>-92784.700000000012</v>
      </c>
      <c r="N100" s="185">
        <f t="shared" si="31"/>
        <v>-0.23196175000000002</v>
      </c>
      <c r="O100" s="177" t="b">
        <f t="shared" si="29"/>
        <v>0</v>
      </c>
      <c r="P100" s="185">
        <f>COUNTIF(O$2:O100, TRUE)/(COUNTIF(O$2:O100,FALSE) + COUNTIF(O$2:O100, TRUE))</f>
        <v>0.45454545454545453</v>
      </c>
      <c r="Q100" s="339"/>
      <c r="R100" s="339"/>
      <c r="S100" s="339"/>
      <c r="T100" s="339"/>
      <c r="U100" s="185">
        <f>STDEV(D$2:D100)*SQRT(252)</f>
        <v>0.20049006957671658</v>
      </c>
      <c r="V100" s="185">
        <f>STDEV(L$2:L100)*SQRT(252)</f>
        <v>0.30696087260477756</v>
      </c>
      <c r="W100" s="177">
        <f t="shared" si="23"/>
        <v>-0.75567204390462683</v>
      </c>
    </row>
    <row r="101" spans="2:23" ht="20.100000000000001" customHeight="1" x14ac:dyDescent="0.25">
      <c r="B101" s="168">
        <v>42376</v>
      </c>
      <c r="C101" s="206">
        <v>1943.09</v>
      </c>
      <c r="D101" s="172">
        <f t="shared" si="24"/>
        <v>-2.3700421050516049E-2</v>
      </c>
      <c r="E101" s="201">
        <f t="shared" si="32"/>
        <v>-7.5792888263160968E-2</v>
      </c>
      <c r="F101" s="218">
        <v>4689.42</v>
      </c>
      <c r="G101" s="172">
        <f t="shared" si="21"/>
        <v>-3.0262047744304958E-2</v>
      </c>
      <c r="H101" s="203">
        <f t="shared" si="27"/>
        <v>-7.9007011410727218E-2</v>
      </c>
      <c r="I101" s="222">
        <v>296450.84999999998</v>
      </c>
      <c r="J101" s="170">
        <v>400000</v>
      </c>
      <c r="K101" s="170">
        <f t="shared" si="28"/>
        <v>-10764.450000000012</v>
      </c>
      <c r="L101" s="172">
        <f t="shared" si="25"/>
        <v>-3.503878224814979E-2</v>
      </c>
      <c r="M101" s="177">
        <f t="shared" si="30"/>
        <v>-103549.15000000002</v>
      </c>
      <c r="N101" s="185">
        <f t="shared" si="31"/>
        <v>-0.25887287500000006</v>
      </c>
      <c r="O101" s="177" t="b">
        <f t="shared" si="29"/>
        <v>0</v>
      </c>
      <c r="P101" s="185">
        <f>COUNTIF(O$2:O101, TRUE)/(COUNTIF(O$2:O101,FALSE) + COUNTIF(O$2:O101, TRUE))</f>
        <v>0.45</v>
      </c>
      <c r="Q101" s="339"/>
      <c r="R101" s="339"/>
      <c r="S101" s="339"/>
      <c r="T101" s="339"/>
      <c r="U101" s="185">
        <f>STDEV(D$2:D101)*SQRT(252)</f>
        <v>0.20287568849216503</v>
      </c>
      <c r="V101" s="185">
        <f>STDEV(L$2:L101)*SQRT(252)</f>
        <v>0.3100263800011836</v>
      </c>
      <c r="W101" s="177">
        <f t="shared" si="23"/>
        <v>-0.83500273428026273</v>
      </c>
    </row>
    <row r="102" spans="2:23" ht="20.100000000000001" customHeight="1" x14ac:dyDescent="0.25">
      <c r="B102" s="168">
        <v>42377</v>
      </c>
      <c r="C102" s="206">
        <v>1922.03</v>
      </c>
      <c r="D102" s="172">
        <f t="shared" si="24"/>
        <v>-1.0838406867412187E-2</v>
      </c>
      <c r="E102" s="201">
        <f t="shared" si="32"/>
        <v>-8.5809820969920694E-2</v>
      </c>
      <c r="F102" s="218">
        <v>4643.63</v>
      </c>
      <c r="G102" s="172">
        <f t="shared" si="21"/>
        <v>-9.7645337802969162E-3</v>
      </c>
      <c r="H102" s="203">
        <f t="shared" si="27"/>
        <v>-8.8000078559223788E-2</v>
      </c>
      <c r="I102" s="222">
        <v>291709.24</v>
      </c>
      <c r="J102" s="170">
        <v>400000</v>
      </c>
      <c r="K102" s="170">
        <f t="shared" si="28"/>
        <v>-4741.609999999986</v>
      </c>
      <c r="L102" s="172">
        <f t="shared" si="25"/>
        <v>-1.5994590671607068E-2</v>
      </c>
      <c r="M102" s="177">
        <f t="shared" si="30"/>
        <v>-108290.76000000001</v>
      </c>
      <c r="N102" s="185">
        <f t="shared" si="31"/>
        <v>-0.27072690000000005</v>
      </c>
      <c r="O102" s="177" t="b">
        <f t="shared" si="29"/>
        <v>0</v>
      </c>
      <c r="P102" s="185">
        <f>COUNTIF(O$2:O102, TRUE)/(COUNTIF(O$2:O102,FALSE) + COUNTIF(O$2:O102, TRUE))</f>
        <v>0.44554455445544555</v>
      </c>
      <c r="Q102" s="339"/>
      <c r="R102" s="339"/>
      <c r="S102" s="339"/>
      <c r="T102" s="339"/>
      <c r="U102" s="185">
        <f>STDEV(D$2:D102)*SQRT(252)</f>
        <v>0.20248720457618641</v>
      </c>
      <c r="V102" s="185">
        <f>STDEV(L$2:L102)*SQRT(252)</f>
        <v>0.30926714125463156</v>
      </c>
      <c r="W102" s="177">
        <f t="shared" si="23"/>
        <v>-0.87538203671336734</v>
      </c>
    </row>
    <row r="103" spans="2:23" ht="20.100000000000001" customHeight="1" x14ac:dyDescent="0.25">
      <c r="B103" s="173">
        <v>42380</v>
      </c>
      <c r="C103" s="217">
        <v>1923.67</v>
      </c>
      <c r="D103" s="172">
        <f t="shared" si="24"/>
        <v>8.5326451720321749E-4</v>
      </c>
      <c r="E103" s="211">
        <f t="shared" si="32"/>
        <v>-8.5029774928178675E-2</v>
      </c>
      <c r="F103" s="221">
        <v>4637.9799999999996</v>
      </c>
      <c r="G103" s="172">
        <f t="shared" si="21"/>
        <v>-1.2167205397502698E-3</v>
      </c>
      <c r="H103" s="205">
        <f t="shared" si="27"/>
        <v>-8.9109727595891405E-2</v>
      </c>
      <c r="I103" s="223">
        <v>278511.46999999997</v>
      </c>
      <c r="J103" s="174">
        <v>400000</v>
      </c>
      <c r="K103" s="174">
        <f t="shared" si="28"/>
        <v>-13197.770000000019</v>
      </c>
      <c r="L103" s="172">
        <f t="shared" si="25"/>
        <v>-4.5242893231630298E-2</v>
      </c>
      <c r="M103" s="184">
        <f t="shared" si="30"/>
        <v>-121488.53000000003</v>
      </c>
      <c r="N103" s="186">
        <f t="shared" si="31"/>
        <v>-0.3037213250000001</v>
      </c>
      <c r="O103" s="184" t="b">
        <f t="shared" si="29"/>
        <v>0</v>
      </c>
      <c r="P103" s="186">
        <f>COUNTIF(O$2:O103, TRUE)/(COUNTIF(O$2:O103,FALSE) + COUNTIF(O$2:O103, TRUE))</f>
        <v>0.44117647058823528</v>
      </c>
      <c r="Q103" s="340"/>
      <c r="R103" s="340"/>
      <c r="S103" s="340"/>
      <c r="T103" s="340"/>
      <c r="U103" s="186">
        <f>STDEV(D$2:D103)*SQRT(252)</f>
        <v>0.20148947946934948</v>
      </c>
      <c r="V103" s="186">
        <f>STDEV(L$2:L103)*SQRT(252)</f>
        <v>0.31519307674971891</v>
      </c>
      <c r="W103" s="184">
        <f t="shared" si="23"/>
        <v>-0.96360404908630648</v>
      </c>
    </row>
    <row r="104" spans="2:23" ht="20.100000000000001" customHeight="1" x14ac:dyDescent="0.25">
      <c r="B104" s="173">
        <v>42381</v>
      </c>
      <c r="C104" s="210">
        <v>1938.68</v>
      </c>
      <c r="D104" s="172">
        <f t="shared" si="24"/>
        <v>7.8027936184480659E-3</v>
      </c>
      <c r="E104" s="211">
        <f>(C104-$C$2)/$C$2</f>
        <v>-7.7890451094918281E-2</v>
      </c>
      <c r="F104" s="221">
        <v>4685.6099999999997</v>
      </c>
      <c r="G104" s="172">
        <f t="shared" si="21"/>
        <v>1.0269557005420487E-2</v>
      </c>
      <c r="H104" s="205">
        <f t="shared" si="27"/>
        <v>-7.9755288017754417E-2</v>
      </c>
      <c r="I104" s="223">
        <v>272280.59000000003</v>
      </c>
      <c r="J104" s="174">
        <v>400000</v>
      </c>
      <c r="K104" s="174">
        <f t="shared" si="28"/>
        <v>-6230.8799999999464</v>
      </c>
      <c r="L104" s="172">
        <f t="shared" si="25"/>
        <v>-2.2372076812491589E-2</v>
      </c>
      <c r="M104" s="184">
        <f t="shared" si="30"/>
        <v>-127719.40999999997</v>
      </c>
      <c r="N104" s="186">
        <f t="shared" si="31"/>
        <v>-0.31929852499999994</v>
      </c>
      <c r="O104" s="184" t="b">
        <f t="shared" si="29"/>
        <v>0</v>
      </c>
      <c r="P104" s="186">
        <f>COUNTIF(O$2:O104, TRUE)/(COUNTIF(O$2:O104,FALSE) + COUNTIF(O$2:O104, TRUE))</f>
        <v>0.43689320388349512</v>
      </c>
      <c r="Q104" s="340"/>
      <c r="R104" s="340"/>
      <c r="S104" s="340"/>
      <c r="T104" s="340"/>
      <c r="U104" s="186">
        <f>STDEV(D$2:D104)*SQRT(252)</f>
        <v>0.20094495344626548</v>
      </c>
      <c r="V104" s="186">
        <f>STDEV(L$2:L104)*SQRT(252)</f>
        <v>0.31518540993187888</v>
      </c>
      <c r="W104" s="184">
        <f t="shared" si="23"/>
        <v>-1.0130498269859953</v>
      </c>
    </row>
    <row r="105" spans="2:23" ht="20.100000000000001" customHeight="1" x14ac:dyDescent="0.25">
      <c r="B105" s="173">
        <v>42382</v>
      </c>
      <c r="C105" s="210">
        <v>1890.28</v>
      </c>
      <c r="D105" s="172">
        <f t="shared" si="24"/>
        <v>-2.4965440402748309E-2</v>
      </c>
      <c r="E105" s="211">
        <f>(C105-$C$2)/$C$2</f>
        <v>-0.10091132208291323</v>
      </c>
      <c r="F105" s="221">
        <v>4526.0600000000004</v>
      </c>
      <c r="G105" s="172">
        <f t="shared" si="21"/>
        <v>-3.4051062721822623E-2</v>
      </c>
      <c r="H105" s="205">
        <f t="shared" si="27"/>
        <v>-0.11109059842488746</v>
      </c>
      <c r="I105" s="223">
        <v>259060.64</v>
      </c>
      <c r="J105" s="174">
        <v>400000</v>
      </c>
      <c r="K105" s="174">
        <f t="shared" si="28"/>
        <v>-13219.950000000012</v>
      </c>
      <c r="L105" s="172">
        <f t="shared" si="25"/>
        <v>-4.8552671345394142E-2</v>
      </c>
      <c r="M105" s="184">
        <f t="shared" si="30"/>
        <v>-140939.35999999999</v>
      </c>
      <c r="N105" s="186">
        <f t="shared" si="31"/>
        <v>-0.35234839999999995</v>
      </c>
      <c r="O105" s="184" t="b">
        <f t="shared" si="29"/>
        <v>0</v>
      </c>
      <c r="P105" s="186">
        <f>COUNTIF(O$2:O105, TRUE)/(COUNTIF(O$2:O105,FALSE) + COUNTIF(O$2:O105, TRUE))</f>
        <v>0.43269230769230771</v>
      </c>
      <c r="Q105" s="340"/>
      <c r="R105" s="340"/>
      <c r="S105" s="340"/>
      <c r="T105" s="340"/>
      <c r="U105" s="186">
        <f>STDEV(D$2:D105)*SQRT(252)</f>
        <v>0.20352342454405692</v>
      </c>
      <c r="V105" s="186">
        <f>STDEV(L$2:L105)*SQRT(252)</f>
        <v>0.32174542830097441</v>
      </c>
      <c r="W105" s="184">
        <f t="shared" si="23"/>
        <v>-1.0951154826367826</v>
      </c>
    </row>
    <row r="106" spans="2:23" ht="20.100000000000001" customHeight="1" x14ac:dyDescent="0.25">
      <c r="B106" s="173">
        <v>42383</v>
      </c>
      <c r="C106" s="210">
        <v>1921.84</v>
      </c>
      <c r="D106" s="172">
        <f t="shared" si="24"/>
        <v>1.6695939225934753E-2</v>
      </c>
      <c r="E106" s="211">
        <f t="shared" ref="E106:E113" si="33">(C106-$C$2)/$C$2</f>
        <v>-8.5900192157683519E-2</v>
      </c>
      <c r="F106" s="221">
        <v>4615</v>
      </c>
      <c r="G106" s="172">
        <f t="shared" si="21"/>
        <v>1.9650645373680331E-2</v>
      </c>
      <c r="H106" s="205">
        <f t="shared" si="27"/>
        <v>-9.3622955005204511E-2</v>
      </c>
      <c r="I106" s="223">
        <v>267077.40000000002</v>
      </c>
      <c r="J106" s="174">
        <v>400000</v>
      </c>
      <c r="K106" s="174">
        <f t="shared" si="28"/>
        <v>8016.7600000000093</v>
      </c>
      <c r="L106" s="172">
        <f t="shared" si="25"/>
        <v>3.0945496004333228E-2</v>
      </c>
      <c r="M106" s="184">
        <f t="shared" si="30"/>
        <v>-132922.59999999998</v>
      </c>
      <c r="N106" s="186">
        <f t="shared" si="31"/>
        <v>-0.33230649999999995</v>
      </c>
      <c r="O106" s="184" t="b">
        <f t="shared" si="29"/>
        <v>1</v>
      </c>
      <c r="P106" s="186">
        <f>COUNTIF(O$2:O106, TRUE)/(COUNTIF(O$2:O106,FALSE) + COUNTIF(O$2:O106, TRUE))</f>
        <v>0.43809523809523809</v>
      </c>
      <c r="Q106" s="340"/>
      <c r="R106" s="340"/>
      <c r="S106" s="340"/>
      <c r="T106" s="340"/>
      <c r="U106" s="186">
        <f>STDEV(D$2:D106)*SQRT(252)</f>
        <v>0.20438733546247476</v>
      </c>
      <c r="V106" s="186">
        <f>STDEV(L$2:L106)*SQRT(252)</f>
        <v>0.32453820781135018</v>
      </c>
      <c r="W106" s="184">
        <f t="shared" si="23"/>
        <v>-1.023936448780679</v>
      </c>
    </row>
    <row r="107" spans="2:23" ht="20.100000000000001" customHeight="1" x14ac:dyDescent="0.25">
      <c r="B107" s="173">
        <v>42384</v>
      </c>
      <c r="C107" s="210">
        <v>1880.33</v>
      </c>
      <c r="D107" s="172">
        <f t="shared" si="24"/>
        <v>-2.1599092536319357E-2</v>
      </c>
      <c r="E107" s="211">
        <f t="shared" si="33"/>
        <v>-0.10564391849470145</v>
      </c>
      <c r="F107" s="221">
        <v>4488.41</v>
      </c>
      <c r="G107" s="172">
        <f t="shared" si="21"/>
        <v>-2.7430119176598083E-2</v>
      </c>
      <c r="H107" s="205">
        <f t="shared" ref="H107:H121" si="34">(F107-F$2)/F$2</f>
        <v>-0.11848498536834456</v>
      </c>
      <c r="I107" s="223">
        <v>249397.57</v>
      </c>
      <c r="J107" s="174">
        <v>400000</v>
      </c>
      <c r="K107" s="174">
        <f t="shared" si="28"/>
        <v>-17679.830000000016</v>
      </c>
      <c r="L107" s="172">
        <f t="shared" si="25"/>
        <v>-6.619740195164403E-2</v>
      </c>
      <c r="M107" s="184">
        <f t="shared" si="30"/>
        <v>-150602.43</v>
      </c>
      <c r="N107" s="186">
        <f t="shared" si="31"/>
        <v>-0.376506075</v>
      </c>
      <c r="O107" s="184" t="b">
        <f t="shared" si="29"/>
        <v>0</v>
      </c>
      <c r="P107" s="186">
        <f>COUNTIF(O$2:O107, TRUE)/(COUNTIF(O$2:O107,FALSE) + COUNTIF(O$2:O107, TRUE))</f>
        <v>0.43396226415094341</v>
      </c>
      <c r="Q107" s="340"/>
      <c r="R107" s="340"/>
      <c r="S107" s="340"/>
      <c r="T107" s="340"/>
      <c r="U107" s="186">
        <f>STDEV(D$2:D107)*SQRT(252)</f>
        <v>0.20594332584152428</v>
      </c>
      <c r="V107" s="186">
        <f>STDEV(L$2:L107)*SQRT(252)</f>
        <v>0.33758588878684614</v>
      </c>
      <c r="W107" s="184">
        <f t="shared" si="23"/>
        <v>-1.1152897307201377</v>
      </c>
    </row>
    <row r="108" spans="2:23" ht="20.100000000000001" customHeight="1" x14ac:dyDescent="0.25">
      <c r="B108" s="168">
        <v>42388</v>
      </c>
      <c r="C108" s="200">
        <v>1881.33</v>
      </c>
      <c r="D108" s="172">
        <f t="shared" si="24"/>
        <v>5.3182154196337883E-4</v>
      </c>
      <c r="E108" s="201">
        <f t="shared" si="33"/>
        <v>-0.10516828066437098</v>
      </c>
      <c r="F108" s="218">
        <v>4476.95</v>
      </c>
      <c r="G108" s="172">
        <f t="shared" si="21"/>
        <v>-2.5532426850488339E-3</v>
      </c>
      <c r="H108" s="203">
        <f t="shared" si="34"/>
        <v>-0.12073570713121355</v>
      </c>
      <c r="I108" s="222">
        <v>241697.04</v>
      </c>
      <c r="J108" s="170">
        <v>400000</v>
      </c>
      <c r="K108" s="170">
        <f t="shared" si="28"/>
        <v>-7700.5300000000279</v>
      </c>
      <c r="L108" s="172">
        <f t="shared" si="25"/>
        <v>-3.0876523776875723E-2</v>
      </c>
      <c r="M108" s="177">
        <f t="shared" si="30"/>
        <v>-158302.96</v>
      </c>
      <c r="N108" s="185">
        <f t="shared" si="31"/>
        <v>-0.39575739999999998</v>
      </c>
      <c r="O108" s="177" t="b">
        <f t="shared" si="29"/>
        <v>0</v>
      </c>
      <c r="P108" s="185">
        <f>COUNTIF(O$2:O108, TRUE)/(COUNTIF(O$2:O108,FALSE) + COUNTIF(O$2:O108, TRUE))</f>
        <v>0.42990654205607476</v>
      </c>
      <c r="Q108" s="339"/>
      <c r="R108" s="339"/>
      <c r="S108" s="339"/>
      <c r="T108" s="339"/>
      <c r="U108" s="185">
        <f>STDEV(D$2:D108)*SQRT(252)</f>
        <v>0.20497353903003479</v>
      </c>
      <c r="V108" s="185">
        <f>STDEV(L$2:L108)*SQRT(252)</f>
        <v>0.33863790038958375</v>
      </c>
      <c r="W108" s="177">
        <f t="shared" si="23"/>
        <v>-1.1686742669521146</v>
      </c>
    </row>
    <row r="109" spans="2:23" ht="20.100000000000001" customHeight="1" x14ac:dyDescent="0.25">
      <c r="B109" s="168">
        <v>42389</v>
      </c>
      <c r="C109" s="200">
        <v>1859.33</v>
      </c>
      <c r="D109" s="172">
        <f t="shared" si="24"/>
        <v>-1.1693854879260949E-2</v>
      </c>
      <c r="E109" s="201">
        <f t="shared" si="33"/>
        <v>-0.11563231293164139</v>
      </c>
      <c r="F109" s="218">
        <v>4471.68</v>
      </c>
      <c r="G109" s="172">
        <f t="shared" si="21"/>
        <v>-1.1771406872981666E-3</v>
      </c>
      <c r="H109" s="203">
        <f t="shared" si="34"/>
        <v>-0.12177072490523785</v>
      </c>
      <c r="I109" s="222">
        <v>239001.56</v>
      </c>
      <c r="J109" s="170">
        <v>400000</v>
      </c>
      <c r="K109" s="170">
        <f t="shared" si="28"/>
        <v>-2695.4799999999814</v>
      </c>
      <c r="L109" s="172">
        <f t="shared" si="25"/>
        <v>-1.1152308691906121E-2</v>
      </c>
      <c r="M109" s="177">
        <f t="shared" si="30"/>
        <v>-160998.44</v>
      </c>
      <c r="N109" s="185">
        <f t="shared" si="31"/>
        <v>-0.40249610000000002</v>
      </c>
      <c r="O109" s="177" t="b">
        <f t="shared" si="29"/>
        <v>1</v>
      </c>
      <c r="P109" s="185">
        <f>COUNTIF(O$2:O109, TRUE)/(COUNTIF(O$2:O109,FALSE) + COUNTIF(O$2:O109, TRUE))</f>
        <v>0.43518518518518517</v>
      </c>
      <c r="Q109" s="339"/>
      <c r="R109" s="339"/>
      <c r="S109" s="339"/>
      <c r="T109" s="339"/>
      <c r="U109" s="185">
        <f>STDEV(D$2:D109)*SQRT(252)</f>
        <v>0.20466775158586656</v>
      </c>
      <c r="V109" s="185">
        <f>STDEV(L$2:L109)*SQRT(252)</f>
        <v>0.33723365750596535</v>
      </c>
      <c r="W109" s="177">
        <f t="shared" si="23"/>
        <v>-1.1935229211007214</v>
      </c>
    </row>
    <row r="110" spans="2:23" ht="20.100000000000001" customHeight="1" x14ac:dyDescent="0.25">
      <c r="B110" s="168">
        <v>42390</v>
      </c>
      <c r="C110" s="200">
        <v>1868.99</v>
      </c>
      <c r="D110" s="172">
        <f t="shared" si="24"/>
        <v>5.1954198555394055E-3</v>
      </c>
      <c r="E110" s="201">
        <f t="shared" si="33"/>
        <v>-0.11103765149064898</v>
      </c>
      <c r="F110" s="218">
        <v>4472.0600000000004</v>
      </c>
      <c r="G110" s="172">
        <f t="shared" si="21"/>
        <v>8.4979247173346285E-5</v>
      </c>
      <c r="H110" s="203">
        <f t="shared" si="34"/>
        <v>-0.1216960936425947</v>
      </c>
      <c r="I110" s="222">
        <v>254991.51</v>
      </c>
      <c r="J110" s="170">
        <v>400000</v>
      </c>
      <c r="K110" s="170">
        <f t="shared" si="28"/>
        <v>15989.950000000012</v>
      </c>
      <c r="L110" s="172">
        <f t="shared" si="25"/>
        <v>6.6903119795536106E-2</v>
      </c>
      <c r="M110" s="177">
        <f t="shared" si="30"/>
        <v>-145008.49</v>
      </c>
      <c r="N110" s="185">
        <f t="shared" si="31"/>
        <v>-0.362521225</v>
      </c>
      <c r="O110" s="177" t="b">
        <f t="shared" si="29"/>
        <v>1</v>
      </c>
      <c r="P110" s="185">
        <f>COUNTIF(O$2:O110, TRUE)/(COUNTIF(O$2:O110,FALSE) + COUNTIF(O$2:O110, TRUE))</f>
        <v>0.44036697247706424</v>
      </c>
      <c r="Q110" s="339"/>
      <c r="R110" s="339"/>
      <c r="S110" s="339"/>
      <c r="T110" s="339"/>
      <c r="U110" s="185">
        <f>STDEV(D$2:D110)*SQRT(252)</f>
        <v>0.20393347244728127</v>
      </c>
      <c r="V110" s="185">
        <f>STDEV(L$2:L110)*SQRT(252)</f>
        <v>0.35256157198523613</v>
      </c>
      <c r="W110" s="177">
        <f t="shared" si="23"/>
        <v>-1.028249400405955</v>
      </c>
    </row>
    <row r="111" spans="2:23" ht="20.100000000000001" customHeight="1" x14ac:dyDescent="0.25">
      <c r="B111" s="168">
        <v>42391</v>
      </c>
      <c r="C111" s="206">
        <v>1906.9</v>
      </c>
      <c r="D111" s="172">
        <f t="shared" si="24"/>
        <v>2.0283682630725729E-2</v>
      </c>
      <c r="E111" s="201">
        <f t="shared" si="33"/>
        <v>-9.3006221342820702E-2</v>
      </c>
      <c r="F111" s="218">
        <v>4591.18</v>
      </c>
      <c r="G111" s="172">
        <f t="shared" si="21"/>
        <v>2.6636494143638476E-2</v>
      </c>
      <c r="H111" s="203">
        <f t="shared" si="34"/>
        <v>-9.8301156784570881E-2</v>
      </c>
      <c r="I111" s="222">
        <v>260098.81</v>
      </c>
      <c r="J111" s="170">
        <v>400000</v>
      </c>
      <c r="K111" s="170">
        <f t="shared" si="28"/>
        <v>5107.2999999999884</v>
      </c>
      <c r="L111" s="172">
        <f t="shared" si="25"/>
        <v>2.0029294308661447E-2</v>
      </c>
      <c r="M111" s="177">
        <f t="shared" si="30"/>
        <v>-139901.19</v>
      </c>
      <c r="N111" s="185">
        <f t="shared" si="31"/>
        <v>-0.34975297500000002</v>
      </c>
      <c r="O111" s="177" t="b">
        <f t="shared" si="29"/>
        <v>0</v>
      </c>
      <c r="P111" s="185">
        <f>COUNTIF(O$2:O111, TRUE)/(COUNTIF(O$2:O111,FALSE) + COUNTIF(O$2:O111, TRUE))</f>
        <v>0.43636363636363634</v>
      </c>
      <c r="Q111" s="339"/>
      <c r="R111" s="339"/>
      <c r="S111" s="339"/>
      <c r="T111" s="339"/>
      <c r="U111" s="185">
        <f>STDEV(D$2:D111)*SQRT(252)</f>
        <v>0.20555239783673285</v>
      </c>
      <c r="V111" s="185">
        <f>STDEV(L$2:L111)*SQRT(252)</f>
        <v>0.35267737853182896</v>
      </c>
      <c r="W111" s="177">
        <f t="shared" si="23"/>
        <v>-0.99170799231863693</v>
      </c>
    </row>
    <row r="112" spans="2:23" ht="20.100000000000001" customHeight="1" x14ac:dyDescent="0.25">
      <c r="B112" s="173">
        <v>42394</v>
      </c>
      <c r="C112" s="217">
        <v>1877.08</v>
      </c>
      <c r="D112" s="172">
        <f t="shared" si="24"/>
        <v>-1.5637946405160294E-2</v>
      </c>
      <c r="E112" s="211">
        <f t="shared" si="33"/>
        <v>-0.10718974144327549</v>
      </c>
      <c r="F112" s="221">
        <v>4518.49</v>
      </c>
      <c r="G112" s="172">
        <f t="shared" si="21"/>
        <v>-1.5832531070443873E-2</v>
      </c>
      <c r="H112" s="205">
        <f t="shared" si="34"/>
        <v>-0.11257733173596246</v>
      </c>
      <c r="I112" s="223">
        <v>241845.81</v>
      </c>
      <c r="J112" s="174">
        <v>400000</v>
      </c>
      <c r="K112" s="174">
        <f t="shared" si="28"/>
        <v>-18253</v>
      </c>
      <c r="L112" s="172">
        <f t="shared" si="25"/>
        <v>-7.0177176127795435E-2</v>
      </c>
      <c r="M112" s="184">
        <f t="shared" si="30"/>
        <v>-158154.19</v>
      </c>
      <c r="N112" s="186">
        <f t="shared" si="31"/>
        <v>-0.39538547499999999</v>
      </c>
      <c r="O112" s="184" t="b">
        <f t="shared" si="29"/>
        <v>0</v>
      </c>
      <c r="P112" s="186">
        <f>COUNTIF(O$2:O112, TRUE)/(COUNTIF(O$2:O112,FALSE) + COUNTIF(O$2:O112, TRUE))</f>
        <v>0.43243243243243246</v>
      </c>
      <c r="Q112" s="340"/>
      <c r="R112" s="340"/>
      <c r="S112" s="340"/>
      <c r="T112" s="340"/>
      <c r="U112" s="186">
        <f>STDEV(D$2:D112)*SQRT(252)</f>
        <v>0.2058342089719612</v>
      </c>
      <c r="V112" s="186">
        <f>STDEV(L$2:L112)*SQRT(252)</f>
        <v>0.36554774877731538</v>
      </c>
      <c r="W112" s="184">
        <f t="shared" si="23"/>
        <v>-1.0816247024430758</v>
      </c>
    </row>
    <row r="113" spans="2:23" ht="20.100000000000001" customHeight="1" x14ac:dyDescent="0.25">
      <c r="B113" s="173">
        <v>42395</v>
      </c>
      <c r="C113" s="210">
        <v>1903.63</v>
      </c>
      <c r="D113" s="172">
        <f t="shared" si="24"/>
        <v>1.4144309246276229E-2</v>
      </c>
      <c r="E113" s="211">
        <f t="shared" si="33"/>
        <v>-9.4561557048001343E-2</v>
      </c>
      <c r="F113" s="221">
        <v>4567.67</v>
      </c>
      <c r="G113" s="172">
        <f t="shared" si="21"/>
        <v>1.0884167055808532E-2</v>
      </c>
      <c r="H113" s="205">
        <f t="shared" si="34"/>
        <v>-0.10291847516546532</v>
      </c>
      <c r="I113" s="223">
        <v>248055.57</v>
      </c>
      <c r="J113" s="174">
        <v>400000</v>
      </c>
      <c r="K113" s="174">
        <f t="shared" si="28"/>
        <v>6209.7600000000093</v>
      </c>
      <c r="L113" s="172">
        <f t="shared" si="25"/>
        <v>2.5676525055364861E-2</v>
      </c>
      <c r="M113" s="184">
        <f t="shared" si="30"/>
        <v>-151944.43</v>
      </c>
      <c r="N113" s="186">
        <f t="shared" si="31"/>
        <v>-0.37986107499999999</v>
      </c>
      <c r="O113" s="184" t="b">
        <f t="shared" si="29"/>
        <v>1</v>
      </c>
      <c r="P113" s="186">
        <f>COUNTIF(O$2:O113, TRUE)/(COUNTIF(O$2:O113,FALSE) + COUNTIF(O$2:O113, TRUE))</f>
        <v>0.4375</v>
      </c>
      <c r="Q113" s="340"/>
      <c r="R113" s="340"/>
      <c r="S113" s="340"/>
      <c r="T113" s="340"/>
      <c r="U113" s="186">
        <f>STDEV(D$2:D113)*SQRT(252)</f>
        <v>0.20615429037873539</v>
      </c>
      <c r="V113" s="186">
        <f>STDEV(L$2:L113)*SQRT(252)</f>
        <v>0.36652123813825849</v>
      </c>
      <c r="W113" s="184">
        <f t="shared" si="23"/>
        <v>-1.0363958086835598</v>
      </c>
    </row>
    <row r="114" spans="2:23" ht="20.100000000000001" customHeight="1" x14ac:dyDescent="0.25">
      <c r="B114" s="173">
        <v>42396</v>
      </c>
      <c r="C114" s="210">
        <v>1882.95</v>
      </c>
      <c r="D114" s="172">
        <f t="shared" si="24"/>
        <v>-1.0863455608495382E-2</v>
      </c>
      <c r="E114" s="211">
        <f>(C114-$C$2)/$C$2</f>
        <v>-0.10439774737923556</v>
      </c>
      <c r="F114" s="221">
        <v>4468.16</v>
      </c>
      <c r="G114" s="172">
        <f t="shared" si="21"/>
        <v>-2.1785724450321547E-2</v>
      </c>
      <c r="H114" s="205">
        <f t="shared" si="34"/>
        <v>-0.12246204607498477</v>
      </c>
      <c r="I114" s="223">
        <v>251585.76</v>
      </c>
      <c r="J114" s="174">
        <v>400000</v>
      </c>
      <c r="K114" s="174">
        <f t="shared" si="28"/>
        <v>3530.1900000000023</v>
      </c>
      <c r="L114" s="172">
        <f t="shared" si="25"/>
        <v>1.4231448219445353E-2</v>
      </c>
      <c r="M114" s="184">
        <f t="shared" si="30"/>
        <v>-148414.24</v>
      </c>
      <c r="N114" s="186">
        <f t="shared" si="31"/>
        <v>-0.37103559999999997</v>
      </c>
      <c r="O114" s="184" t="b">
        <f t="shared" si="29"/>
        <v>1</v>
      </c>
      <c r="P114" s="186">
        <f>COUNTIF(O$2:O114, TRUE)/(COUNTIF(O$2:O114,FALSE) + COUNTIF(O$2:O114, TRUE))</f>
        <v>0.44247787610619471</v>
      </c>
      <c r="Q114" s="340"/>
      <c r="R114" s="340"/>
      <c r="S114" s="340"/>
      <c r="T114" s="340"/>
      <c r="U114" s="186">
        <f>STDEV(D$2:D114)*SQRT(252)</f>
        <v>0.20577679311518093</v>
      </c>
      <c r="V114" s="186">
        <f>STDEV(L$2:L114)*SQRT(252)</f>
        <v>0.36580201811385399</v>
      </c>
      <c r="W114" s="184">
        <f t="shared" si="23"/>
        <v>-1.0143071432824</v>
      </c>
    </row>
    <row r="115" spans="2:23" ht="20.100000000000001" customHeight="1" x14ac:dyDescent="0.25">
      <c r="B115" s="173">
        <v>42397</v>
      </c>
      <c r="C115" s="210">
        <v>1893.36</v>
      </c>
      <c r="D115" s="172">
        <f t="shared" si="24"/>
        <v>5.5285589102205867E-3</v>
      </c>
      <c r="E115" s="211">
        <f t="shared" ref="E115:E124" si="35">(C115-$C$2)/$C$2</f>
        <v>-9.94463575654954E-2</v>
      </c>
      <c r="F115" s="221">
        <v>4506.67</v>
      </c>
      <c r="G115" s="172">
        <f t="shared" si="21"/>
        <v>8.6187602950655792E-3</v>
      </c>
      <c r="H115" s="205">
        <f t="shared" si="34"/>
        <v>-0.11489875680028276</v>
      </c>
      <c r="I115" s="223">
        <v>256687.6</v>
      </c>
      <c r="J115" s="174">
        <v>400000</v>
      </c>
      <c r="K115" s="174">
        <f t="shared" si="28"/>
        <v>5101.8399999999674</v>
      </c>
      <c r="L115" s="172">
        <f t="shared" si="25"/>
        <v>2.027873119686888E-2</v>
      </c>
      <c r="M115" s="184">
        <f t="shared" si="30"/>
        <v>-143312.4</v>
      </c>
      <c r="N115" s="186">
        <f t="shared" si="31"/>
        <v>-0.35828099999999996</v>
      </c>
      <c r="O115" s="184" t="b">
        <f t="shared" si="29"/>
        <v>1</v>
      </c>
      <c r="P115" s="186">
        <f>COUNTIF(O$2:O115, TRUE)/(COUNTIF(O$2:O115,FALSE) + COUNTIF(O$2:O115, TRUE))</f>
        <v>0.44736842105263158</v>
      </c>
      <c r="Q115" s="340"/>
      <c r="R115" s="340"/>
      <c r="S115" s="340"/>
      <c r="T115" s="340"/>
      <c r="U115" s="186">
        <f>STDEV(D$2:D115)*SQRT(252)</f>
        <v>0.20508094349641362</v>
      </c>
      <c r="V115" s="186">
        <f>STDEV(L$2:L115)*SQRT(252)</f>
        <v>0.36582687593251006</v>
      </c>
      <c r="W115" s="184">
        <f t="shared" si="23"/>
        <v>-0.97937309577576737</v>
      </c>
    </row>
    <row r="116" spans="2:23" ht="20.100000000000001" customHeight="1" x14ac:dyDescent="0.25">
      <c r="B116" s="173">
        <v>42398</v>
      </c>
      <c r="C116" s="210">
        <v>1940.24</v>
      </c>
      <c r="D116" s="172">
        <f t="shared" si="24"/>
        <v>2.4760214644864217E-2</v>
      </c>
      <c r="E116" s="211">
        <f t="shared" si="35"/>
        <v>-7.7148456079602773E-2</v>
      </c>
      <c r="F116" s="221">
        <v>4613.95</v>
      </c>
      <c r="G116" s="172">
        <f t="shared" si="21"/>
        <v>2.3804716120772042E-2</v>
      </c>
      <c r="H116" s="205">
        <f t="shared" si="34"/>
        <v>-9.3829172967771088E-2</v>
      </c>
      <c r="I116" s="420">
        <v>272541.61</v>
      </c>
      <c r="J116" s="174">
        <v>400000</v>
      </c>
      <c r="K116" s="174">
        <f t="shared" si="28"/>
        <v>15854.010000000009</v>
      </c>
      <c r="L116" s="172">
        <f t="shared" si="25"/>
        <v>6.1763832767924937E-2</v>
      </c>
      <c r="M116" s="184">
        <f t="shared" si="30"/>
        <v>-127458.39000000001</v>
      </c>
      <c r="N116" s="186">
        <f t="shared" si="31"/>
        <v>-0.31864597500000003</v>
      </c>
      <c r="O116" s="184" t="b">
        <f t="shared" si="29"/>
        <v>1</v>
      </c>
      <c r="P116" s="186">
        <f>COUNTIF(O$2:O116, TRUE)/(COUNTIF(O$2:O116,FALSE) + COUNTIF(O$2:O116, TRUE))</f>
        <v>0.45217391304347826</v>
      </c>
      <c r="Q116" s="340"/>
      <c r="R116" s="340"/>
      <c r="S116" s="340"/>
      <c r="T116" s="340"/>
      <c r="U116" s="186">
        <f>STDEV(D$2:D116)*SQRT(252)</f>
        <v>0.2076899725605586</v>
      </c>
      <c r="V116" s="186">
        <f>STDEV(L$2:L116)*SQRT(252)</f>
        <v>0.37665623164224904</v>
      </c>
      <c r="W116" s="184">
        <f t="shared" si="23"/>
        <v>-0.84598620235401389</v>
      </c>
    </row>
    <row r="117" spans="2:23" ht="20.100000000000001" customHeight="1" x14ac:dyDescent="0.25">
      <c r="B117" s="246">
        <v>42401</v>
      </c>
      <c r="C117" s="247">
        <v>1939.38</v>
      </c>
      <c r="D117" s="172">
        <f t="shared" si="24"/>
        <v>-4.4324413474616542E-4</v>
      </c>
      <c r="E117" s="248">
        <f t="shared" si="35"/>
        <v>-7.755750461368692E-2</v>
      </c>
      <c r="F117" s="249">
        <v>4620.3599999999997</v>
      </c>
      <c r="G117" s="172">
        <f t="shared" si="21"/>
        <v>1.3892651632548803E-3</v>
      </c>
      <c r="H117" s="250">
        <f t="shared" si="34"/>
        <v>-9.2570261405817339E-2</v>
      </c>
      <c r="I117" s="251">
        <v>271687.27</v>
      </c>
      <c r="J117" s="252">
        <v>400000</v>
      </c>
      <c r="K117" s="252">
        <f t="shared" si="28"/>
        <v>-854.3399999999674</v>
      </c>
      <c r="L117" s="172">
        <f t="shared" si="25"/>
        <v>-3.1347139983504443E-3</v>
      </c>
      <c r="M117" s="253">
        <f t="shared" si="30"/>
        <v>-128312.72999999998</v>
      </c>
      <c r="N117" s="254">
        <f t="shared" si="31"/>
        <v>-0.32078182499999996</v>
      </c>
      <c r="O117" s="253" t="b">
        <f t="shared" si="29"/>
        <v>0</v>
      </c>
      <c r="P117" s="254">
        <f>COUNTIF(O$2:O117, TRUE)/(COUNTIF(O$2:O117,FALSE) + COUNTIF(O$2:O117, TRUE))</f>
        <v>0.44827586206896552</v>
      </c>
      <c r="Q117" s="341"/>
      <c r="R117" s="341"/>
      <c r="S117" s="341"/>
      <c r="T117" s="341"/>
      <c r="U117" s="254">
        <f>STDEV(D$2:D117)*SQRT(252)</f>
        <v>0.20677720896061949</v>
      </c>
      <c r="V117" s="254">
        <f>STDEV(L$2:L117)*SQRT(252)</f>
        <v>0.37500277790793834</v>
      </c>
      <c r="W117" s="253">
        <f t="shared" si="23"/>
        <v>-0.85541186331891816</v>
      </c>
    </row>
    <row r="118" spans="2:23" ht="20.100000000000001" customHeight="1" x14ac:dyDescent="0.25">
      <c r="B118" s="246">
        <v>42402</v>
      </c>
      <c r="C118" s="247">
        <v>1903.03</v>
      </c>
      <c r="D118" s="172">
        <f t="shared" si="24"/>
        <v>-1.8743103466056232E-2</v>
      </c>
      <c r="E118" s="248">
        <f t="shared" si="35"/>
        <v>-9.484693974619969E-2</v>
      </c>
      <c r="F118" s="249">
        <v>4516.9399999999996</v>
      </c>
      <c r="G118" s="172">
        <f t="shared" si="21"/>
        <v>-2.2383537213550478E-2</v>
      </c>
      <c r="H118" s="250">
        <f t="shared" si="34"/>
        <v>-0.11288174872832261</v>
      </c>
      <c r="I118" s="251">
        <v>258167.62</v>
      </c>
      <c r="J118" s="252">
        <v>400000</v>
      </c>
      <c r="K118" s="252">
        <f t="shared" si="28"/>
        <v>-13519.650000000023</v>
      </c>
      <c r="L118" s="172">
        <f t="shared" si="25"/>
        <v>-4.9761808862078899E-2</v>
      </c>
      <c r="M118" s="253">
        <f t="shared" si="30"/>
        <v>-141832.38</v>
      </c>
      <c r="N118" s="254">
        <f t="shared" si="31"/>
        <v>-0.35458095000000001</v>
      </c>
      <c r="O118" s="253" t="b">
        <f t="shared" si="29"/>
        <v>0</v>
      </c>
      <c r="P118" s="254">
        <f>COUNTIF(O$2:O118, TRUE)/(COUNTIF(O$2:O118,FALSE) + COUNTIF(O$2:O118, TRUE))</f>
        <v>0.44444444444444442</v>
      </c>
      <c r="Q118" s="341"/>
      <c r="R118" s="341"/>
      <c r="S118" s="341"/>
      <c r="T118" s="341"/>
      <c r="U118" s="254">
        <f>STDEV(D$2:D118)*SQRT(252)</f>
        <v>0.20760234411553996</v>
      </c>
      <c r="V118" s="254">
        <f>STDEV(L$2:L118)*SQRT(252)</f>
        <v>0.37987177172236325</v>
      </c>
      <c r="W118" s="253">
        <f t="shared" si="23"/>
        <v>-0.93342273997435232</v>
      </c>
    </row>
    <row r="119" spans="2:23" ht="20.100000000000001" customHeight="1" x14ac:dyDescent="0.25">
      <c r="B119" s="246">
        <v>42403</v>
      </c>
      <c r="C119" s="247">
        <v>1912.53</v>
      </c>
      <c r="D119" s="172">
        <f t="shared" si="24"/>
        <v>4.9920390114711801E-3</v>
      </c>
      <c r="E119" s="248">
        <f t="shared" si="35"/>
        <v>-9.0328380358060192E-2</v>
      </c>
      <c r="F119" s="249">
        <v>4504.2299999999996</v>
      </c>
      <c r="G119" s="172">
        <f t="shared" si="21"/>
        <v>-2.8138518554596779E-3</v>
      </c>
      <c r="H119" s="250">
        <f t="shared" si="34"/>
        <v>-0.11537796806567556</v>
      </c>
      <c r="I119" s="251">
        <v>270997.09999999998</v>
      </c>
      <c r="J119" s="252">
        <v>400000</v>
      </c>
      <c r="K119" s="252">
        <f t="shared" si="28"/>
        <v>12829.479999999981</v>
      </c>
      <c r="L119" s="172">
        <f t="shared" si="25"/>
        <v>4.9694380728303504E-2</v>
      </c>
      <c r="M119" s="253">
        <f t="shared" si="30"/>
        <v>-129002.90000000002</v>
      </c>
      <c r="N119" s="254">
        <f t="shared" si="31"/>
        <v>-0.32250725000000008</v>
      </c>
      <c r="O119" s="253" t="b">
        <f t="shared" si="29"/>
        <v>1</v>
      </c>
      <c r="P119" s="254">
        <f>COUNTIF(O$2:O119, TRUE)/(COUNTIF(O$2:O119,FALSE) + COUNTIF(O$2:O119, TRUE))</f>
        <v>0.44915254237288138</v>
      </c>
      <c r="Q119" s="341"/>
      <c r="R119" s="341"/>
      <c r="S119" s="341"/>
      <c r="T119" s="341"/>
      <c r="U119" s="254">
        <f>STDEV(D$2:D119)*SQRT(252)</f>
        <v>0.20687869960829744</v>
      </c>
      <c r="V119" s="254">
        <f>STDEV(L$2:L119)*SQRT(252)</f>
        <v>0.38596402182857842</v>
      </c>
      <c r="W119" s="253">
        <f t="shared" si="23"/>
        <v>-0.83558889367993483</v>
      </c>
    </row>
    <row r="120" spans="2:23" ht="20.100000000000001" customHeight="1" x14ac:dyDescent="0.25">
      <c r="B120" s="246">
        <v>42404</v>
      </c>
      <c r="C120" s="247">
        <v>1915.45</v>
      </c>
      <c r="D120" s="172">
        <f t="shared" si="24"/>
        <v>1.5267734362337181E-3</v>
      </c>
      <c r="E120" s="248">
        <f t="shared" si="35"/>
        <v>-8.8939517893495176E-2</v>
      </c>
      <c r="F120" s="249">
        <v>4509.55</v>
      </c>
      <c r="G120" s="172">
        <f t="shared" si="21"/>
        <v>1.1811119769640137E-3</v>
      </c>
      <c r="H120" s="250">
        <f t="shared" si="34"/>
        <v>-0.1143331303886717</v>
      </c>
      <c r="I120" s="251">
        <v>272162.3</v>
      </c>
      <c r="J120" s="252">
        <v>400000</v>
      </c>
      <c r="K120" s="252">
        <f t="shared" ref="K120:K151" si="36">I120-I119-J120+J119</f>
        <v>1165.2000000000116</v>
      </c>
      <c r="L120" s="172">
        <f t="shared" si="25"/>
        <v>4.2996770076137777E-3</v>
      </c>
      <c r="M120" s="253">
        <f t="shared" si="30"/>
        <v>-127837.70000000001</v>
      </c>
      <c r="N120" s="254">
        <f t="shared" si="31"/>
        <v>-0.31959425000000002</v>
      </c>
      <c r="O120" s="253" t="b">
        <f t="shared" si="29"/>
        <v>1</v>
      </c>
      <c r="P120" s="254">
        <f>COUNTIF(O$2:O120, TRUE)/(COUNTIF(O$2:O120,FALSE) + COUNTIF(O$2:O120, TRUE))</f>
        <v>0.45378151260504201</v>
      </c>
      <c r="Q120" s="341"/>
      <c r="R120" s="341"/>
      <c r="S120" s="341"/>
      <c r="T120" s="341"/>
      <c r="U120" s="254">
        <f>STDEV(D$2:D120)*SQRT(252)</f>
        <v>0.20601897567851155</v>
      </c>
      <c r="V120" s="254">
        <f>STDEV(L$2:L120)*SQRT(252)</f>
        <v>0.38442983265447928</v>
      </c>
      <c r="W120" s="253">
        <f t="shared" si="23"/>
        <v>-0.83134612054743251</v>
      </c>
    </row>
    <row r="121" spans="2:23" ht="20.100000000000001" customHeight="1" x14ac:dyDescent="0.25">
      <c r="B121" s="246">
        <v>42405</v>
      </c>
      <c r="C121" s="247">
        <v>1880.02</v>
      </c>
      <c r="D121" s="172">
        <f t="shared" si="24"/>
        <v>-1.8496958939152711E-2</v>
      </c>
      <c r="E121" s="248">
        <f t="shared" si="35"/>
        <v>-0.10579136622210387</v>
      </c>
      <c r="F121" s="249">
        <v>4363.1400000000003</v>
      </c>
      <c r="G121" s="172">
        <f t="shared" si="21"/>
        <v>-3.2466654100741725E-2</v>
      </c>
      <c r="H121" s="250">
        <f t="shared" si="34"/>
        <v>-0.1430877702928294</v>
      </c>
      <c r="I121" s="251">
        <v>257957.43</v>
      </c>
      <c r="J121" s="252">
        <v>400000</v>
      </c>
      <c r="K121" s="252">
        <f t="shared" si="36"/>
        <v>-14204.869999999995</v>
      </c>
      <c r="L121" s="172">
        <f t="shared" si="25"/>
        <v>-5.2192643874629206E-2</v>
      </c>
      <c r="M121" s="253">
        <f t="shared" si="30"/>
        <v>-142042.57</v>
      </c>
      <c r="N121" s="254">
        <f t="shared" si="31"/>
        <v>-0.355106425</v>
      </c>
      <c r="O121" s="253" t="b">
        <f t="shared" si="29"/>
        <v>0</v>
      </c>
      <c r="P121" s="254">
        <f>COUNTIF(O$2:O121, TRUE)/(COUNTIF(O$2:O121,FALSE) + COUNTIF(O$2:O121, TRUE))</f>
        <v>0.45</v>
      </c>
      <c r="Q121" s="341"/>
      <c r="R121" s="341"/>
      <c r="S121" s="341"/>
      <c r="T121" s="341"/>
      <c r="U121" s="254">
        <f>STDEV(D$2:D121)*SQRT(252)</f>
        <v>0.20677147424628983</v>
      </c>
      <c r="V121" s="254">
        <f>STDEV(L$2:L121)*SQRT(252)</f>
        <v>0.38965360022711565</v>
      </c>
      <c r="W121" s="253">
        <f t="shared" si="23"/>
        <v>-0.91133875009244292</v>
      </c>
    </row>
    <row r="122" spans="2:23" ht="20.100000000000001" customHeight="1" x14ac:dyDescent="0.25">
      <c r="B122" s="173">
        <v>42408</v>
      </c>
      <c r="C122" s="217">
        <v>1853.44</v>
      </c>
      <c r="D122" s="172">
        <f t="shared" si="24"/>
        <v>-1.4138147466516275E-2</v>
      </c>
      <c r="E122" s="211">
        <f t="shared" si="35"/>
        <v>-0.11843381975228781</v>
      </c>
      <c r="F122" s="221">
        <v>4283.75</v>
      </c>
      <c r="G122" s="172">
        <f t="shared" si="21"/>
        <v>-1.8195611417465476E-2</v>
      </c>
      <c r="H122" s="205">
        <f t="shared" ref="H122:H127" si="37">(F122-F$2)/F$2</f>
        <v>-0.15867981224345501</v>
      </c>
      <c r="I122" s="223">
        <v>244544.61</v>
      </c>
      <c r="J122" s="174">
        <v>400000</v>
      </c>
      <c r="K122" s="174">
        <f t="shared" si="36"/>
        <v>-13412.820000000007</v>
      </c>
      <c r="L122" s="172">
        <f t="shared" si="25"/>
        <v>-5.1996253800481756E-2</v>
      </c>
      <c r="M122" s="184">
        <f t="shared" si="30"/>
        <v>-155455.39000000001</v>
      </c>
      <c r="N122" s="186">
        <f t="shared" si="31"/>
        <v>-0.38863847500000004</v>
      </c>
      <c r="O122" s="184" t="b">
        <f t="shared" si="29"/>
        <v>0</v>
      </c>
      <c r="P122" s="186">
        <f>COUNTIF(O$2:O122, TRUE)/(COUNTIF(O$2:O122,FALSE) + COUNTIF(O$2:O122, TRUE))</f>
        <v>0.4462809917355372</v>
      </c>
      <c r="Q122" s="340"/>
      <c r="R122" s="340"/>
      <c r="S122" s="340"/>
      <c r="T122" s="340"/>
      <c r="U122" s="186">
        <f>STDEV(D$2:D122)*SQRT(252)</f>
        <v>0.20679867923754305</v>
      </c>
      <c r="V122" s="186">
        <f>STDEV(L$2:L122)*SQRT(252)</f>
        <v>0.39455956732672759</v>
      </c>
      <c r="W122" s="184">
        <f t="shared" si="23"/>
        <v>-0.98499315992552172</v>
      </c>
    </row>
    <row r="123" spans="2:23" ht="20.100000000000001" customHeight="1" x14ac:dyDescent="0.25">
      <c r="B123" s="173">
        <v>42409</v>
      </c>
      <c r="C123" s="210">
        <v>1852.21</v>
      </c>
      <c r="D123" s="172">
        <f t="shared" si="24"/>
        <v>-6.6363087016575565E-4</v>
      </c>
      <c r="E123" s="211">
        <f t="shared" si="35"/>
        <v>-0.11901885428359431</v>
      </c>
      <c r="F123" s="221">
        <v>4268.76</v>
      </c>
      <c r="G123" s="172">
        <f t="shared" si="21"/>
        <v>-3.4992704989786475E-3</v>
      </c>
      <c r="H123" s="205">
        <f t="shared" si="37"/>
        <v>-0.16162381915666665</v>
      </c>
      <c r="I123" s="223">
        <v>239055.86</v>
      </c>
      <c r="J123" s="174">
        <v>400000</v>
      </c>
      <c r="K123" s="174">
        <f t="shared" si="36"/>
        <v>-5488.75</v>
      </c>
      <c r="L123" s="172">
        <f t="shared" si="25"/>
        <v>-2.2444780115987838E-2</v>
      </c>
      <c r="M123" s="184">
        <f t="shared" si="30"/>
        <v>-160944.14000000001</v>
      </c>
      <c r="N123" s="186">
        <f t="shared" si="31"/>
        <v>-0.40236035000000003</v>
      </c>
      <c r="O123" s="184" t="b">
        <f t="shared" ref="O123:O154" si="38">L123&gt;D123</f>
        <v>0</v>
      </c>
      <c r="P123" s="186">
        <f>COUNTIF(O$2:O123, TRUE)/(COUNTIF(O$2:O123,FALSE) + COUNTIF(O$2:O123, TRUE))</f>
        <v>0.44262295081967212</v>
      </c>
      <c r="Q123" s="340"/>
      <c r="R123" s="340"/>
      <c r="S123" s="340"/>
      <c r="T123" s="340"/>
      <c r="U123" s="186">
        <f>STDEV(D$2:D123)*SQRT(252)</f>
        <v>0.20593567657799225</v>
      </c>
      <c r="V123" s="186">
        <f>STDEV(L$2:L123)*SQRT(252)</f>
        <v>0.39391134458203264</v>
      </c>
      <c r="W123" s="184">
        <f t="shared" si="23"/>
        <v>-1.0214490025082481</v>
      </c>
    </row>
    <row r="124" spans="2:23" ht="20.100000000000001" customHeight="1" x14ac:dyDescent="0.25">
      <c r="B124" s="173">
        <v>42410</v>
      </c>
      <c r="C124" s="210">
        <v>1851.86</v>
      </c>
      <c r="D124" s="172">
        <f t="shared" si="24"/>
        <v>-1.8896345446797955E-4</v>
      </c>
      <c r="E124" s="211">
        <f t="shared" si="35"/>
        <v>-0.11918532752421003</v>
      </c>
      <c r="F124" s="221">
        <v>4283.59</v>
      </c>
      <c r="G124" s="172">
        <f t="shared" si="21"/>
        <v>3.4740767810792659E-3</v>
      </c>
      <c r="H124" s="205">
        <f t="shared" si="37"/>
        <v>-0.15871123593298891</v>
      </c>
      <c r="I124" s="223">
        <v>235873.97</v>
      </c>
      <c r="J124" s="174">
        <v>400000</v>
      </c>
      <c r="K124" s="174">
        <f t="shared" si="36"/>
        <v>-3181.890000000014</v>
      </c>
      <c r="L124" s="172">
        <f t="shared" si="25"/>
        <v>-1.3310236360656518E-2</v>
      </c>
      <c r="M124" s="184">
        <f t="shared" si="30"/>
        <v>-164126.03</v>
      </c>
      <c r="N124" s="186">
        <f t="shared" si="31"/>
        <v>-0.41031507499999997</v>
      </c>
      <c r="O124" s="184" t="b">
        <f t="shared" si="38"/>
        <v>0</v>
      </c>
      <c r="P124" s="186">
        <f>COUNTIF(O$2:O124, TRUE)/(COUNTIF(O$2:O124,FALSE) + COUNTIF(O$2:O124, TRUE))</f>
        <v>0.43902439024390244</v>
      </c>
      <c r="Q124" s="340"/>
      <c r="R124" s="340"/>
      <c r="S124" s="340"/>
      <c r="T124" s="340"/>
      <c r="U124" s="186">
        <f>STDEV(D$2:D124)*SQRT(252)</f>
        <v>0.20508595535618429</v>
      </c>
      <c r="V124" s="186">
        <f>STDEV(L$2:L124)*SQRT(252)</f>
        <v>0.39255054022656277</v>
      </c>
      <c r="W124" s="184">
        <f t="shared" si="23"/>
        <v>-1.0452541340617805</v>
      </c>
    </row>
    <row r="125" spans="2:23" ht="20.100000000000001" customHeight="1" x14ac:dyDescent="0.25">
      <c r="B125" s="173">
        <v>42411</v>
      </c>
      <c r="C125" s="210">
        <v>1829.08</v>
      </c>
      <c r="D125" s="172">
        <f t="shared" si="24"/>
        <v>-1.2301145874958137E-2</v>
      </c>
      <c r="E125" s="211">
        <f>(C125-$C$2)/$C$2</f>
        <v>-0.13002035729913819</v>
      </c>
      <c r="F125" s="221">
        <v>4266.83</v>
      </c>
      <c r="G125" s="172">
        <f t="shared" si="21"/>
        <v>-3.9126060150481761E-3</v>
      </c>
      <c r="H125" s="205">
        <f t="shared" si="37"/>
        <v>-0.16200286741166997</v>
      </c>
      <c r="I125" s="223">
        <v>230609.13</v>
      </c>
      <c r="J125" s="174">
        <v>400000</v>
      </c>
      <c r="K125" s="174">
        <f t="shared" si="36"/>
        <v>-5264.8399999999674</v>
      </c>
      <c r="L125" s="172">
        <f t="shared" si="25"/>
        <v>-2.2320563816346364E-2</v>
      </c>
      <c r="M125" s="184">
        <f t="shared" si="30"/>
        <v>-169390.87</v>
      </c>
      <c r="N125" s="186">
        <f t="shared" si="31"/>
        <v>-0.42347717499999998</v>
      </c>
      <c r="O125" s="184" t="b">
        <f t="shared" si="38"/>
        <v>0</v>
      </c>
      <c r="P125" s="186">
        <f>COUNTIF(O$2:O125, TRUE)/(COUNTIF(O$2:O125,FALSE) + COUNTIF(O$2:O125, TRUE))</f>
        <v>0.43548387096774194</v>
      </c>
      <c r="Q125" s="340"/>
      <c r="R125" s="340"/>
      <c r="S125" s="340"/>
      <c r="T125" s="340"/>
      <c r="U125" s="186">
        <f>STDEV(D$2:D125)*SQRT(252)</f>
        <v>0.20488816456150158</v>
      </c>
      <c r="V125" s="186">
        <f>STDEV(L$2:L125)*SQRT(252)</f>
        <v>0.39188934391979374</v>
      </c>
      <c r="W125" s="184">
        <f t="shared" si="23"/>
        <v>-1.080603955096751</v>
      </c>
    </row>
    <row r="126" spans="2:23" ht="20.100000000000001" customHeight="1" x14ac:dyDescent="0.25">
      <c r="B126" s="173">
        <v>42412</v>
      </c>
      <c r="C126" s="210">
        <v>1864.78</v>
      </c>
      <c r="D126" s="172">
        <f t="shared" si="24"/>
        <v>1.9518009053731956E-2</v>
      </c>
      <c r="E126" s="211">
        <f>(C126-$C$2)/$C$2</f>
        <v>-0.11304008675634029</v>
      </c>
      <c r="F126" s="221">
        <v>4337.51</v>
      </c>
      <c r="G126" s="172">
        <f t="shared" si="21"/>
        <v>1.656499087144327E-2</v>
      </c>
      <c r="H126" s="205">
        <f t="shared" si="37"/>
        <v>-0.14812145256004863</v>
      </c>
      <c r="I126" s="223">
        <v>236989.83</v>
      </c>
      <c r="J126" s="174">
        <v>400000</v>
      </c>
      <c r="K126" s="174">
        <f t="shared" si="36"/>
        <v>6380.6999999999534</v>
      </c>
      <c r="L126" s="172">
        <f t="shared" si="25"/>
        <v>2.7668895849873563E-2</v>
      </c>
      <c r="M126" s="184">
        <f t="shared" ref="M126:M157" si="39">I126-J126</f>
        <v>-163010.17000000001</v>
      </c>
      <c r="N126" s="186">
        <f t="shared" ref="N126:N157" si="40">M126/J126</f>
        <v>-0.40752542500000005</v>
      </c>
      <c r="O126" s="184" t="b">
        <f t="shared" si="38"/>
        <v>1</v>
      </c>
      <c r="P126" s="186">
        <f>COUNTIF(O$2:O126, TRUE)/(COUNTIF(O$2:O126,FALSE) + COUNTIF(O$2:O126, TRUE))</f>
        <v>0.44</v>
      </c>
      <c r="Q126" s="340"/>
      <c r="R126" s="340"/>
      <c r="S126" s="340"/>
      <c r="T126" s="340"/>
      <c r="U126" s="186">
        <f>STDEV(D$2:D126)*SQRT(252)</f>
        <v>0.20614925630726783</v>
      </c>
      <c r="V126" s="186">
        <f>STDEV(L$2:L126)*SQRT(252)</f>
        <v>0.39280034902438915</v>
      </c>
      <c r="W126" s="184">
        <f t="shared" si="23"/>
        <v>-1.037487430986719</v>
      </c>
    </row>
    <row r="127" spans="2:23" ht="20.100000000000001" customHeight="1" x14ac:dyDescent="0.25">
      <c r="B127" s="246">
        <v>42416</v>
      </c>
      <c r="C127" s="247">
        <v>1895.58</v>
      </c>
      <c r="D127" s="172">
        <f t="shared" si="24"/>
        <v>1.651669365823312E-2</v>
      </c>
      <c r="E127" s="248">
        <f>(C127-$C$2)/$C$2</f>
        <v>-9.8390441582161731E-2</v>
      </c>
      <c r="F127" s="249">
        <v>4435.96</v>
      </c>
      <c r="G127" s="172">
        <f t="shared" si="21"/>
        <v>2.2697354011863905E-2</v>
      </c>
      <c r="H127" s="250">
        <f t="shared" si="37"/>
        <v>-0.12878606359369166</v>
      </c>
      <c r="I127" s="251">
        <v>243663.46</v>
      </c>
      <c r="J127" s="252">
        <v>400000</v>
      </c>
      <c r="K127" s="252">
        <f t="shared" si="36"/>
        <v>6673.6300000000047</v>
      </c>
      <c r="L127" s="172">
        <f t="shared" si="25"/>
        <v>2.8159984755463999E-2</v>
      </c>
      <c r="M127" s="253">
        <f t="shared" si="39"/>
        <v>-156336.54</v>
      </c>
      <c r="N127" s="254">
        <f t="shared" si="40"/>
        <v>-0.39084135000000003</v>
      </c>
      <c r="O127" s="253" t="b">
        <f t="shared" si="38"/>
        <v>1</v>
      </c>
      <c r="P127" s="254">
        <f>COUNTIF(O$2:O127, TRUE)/(COUNTIF(O$2:O127,FALSE) + COUNTIF(O$2:O127, TRUE))</f>
        <v>0.44444444444444442</v>
      </c>
      <c r="Q127" s="341"/>
      <c r="R127" s="341"/>
      <c r="S127" s="341"/>
      <c r="T127" s="341"/>
      <c r="U127" s="254">
        <f>STDEV(D$2:D127)*SQRT(252)</f>
        <v>0.2067973574201509</v>
      </c>
      <c r="V127" s="254">
        <f>STDEV(L$2:L127)*SQRT(252)</f>
        <v>0.39373317711022293</v>
      </c>
      <c r="W127" s="253">
        <f t="shared" si="23"/>
        <v>-0.9926553633822599</v>
      </c>
    </row>
    <row r="128" spans="2:23" ht="20.100000000000001" customHeight="1" x14ac:dyDescent="0.25">
      <c r="B128" s="246">
        <v>42417</v>
      </c>
      <c r="C128" s="247">
        <v>1926.82</v>
      </c>
      <c r="D128" s="172">
        <f t="shared" si="24"/>
        <v>1.648044398020659E-2</v>
      </c>
      <c r="E128" s="248">
        <f t="shared" ref="E128:E133" si="41">(C128-$C$2)/$C$2</f>
        <v>-8.3531515762637745E-2</v>
      </c>
      <c r="F128" s="249">
        <v>4534.0600000000004</v>
      </c>
      <c r="G128" s="172">
        <f t="shared" si="21"/>
        <v>2.2114716994743044E-2</v>
      </c>
      <c r="H128" s="250">
        <f t="shared" ref="H128:H141" si="42">(F128-F$2)/F$2</f>
        <v>-0.10951941394819008</v>
      </c>
      <c r="I128" s="251">
        <v>249365.31</v>
      </c>
      <c r="J128" s="252">
        <v>400000</v>
      </c>
      <c r="K128" s="252">
        <f t="shared" si="36"/>
        <v>5701.8499999999767</v>
      </c>
      <c r="L128" s="172">
        <f t="shared" si="25"/>
        <v>2.3400513150391843E-2</v>
      </c>
      <c r="M128" s="253">
        <f t="shared" si="39"/>
        <v>-150634.69</v>
      </c>
      <c r="N128" s="254">
        <f t="shared" si="40"/>
        <v>-0.37658672500000001</v>
      </c>
      <c r="O128" s="253" t="b">
        <f t="shared" si="38"/>
        <v>1</v>
      </c>
      <c r="P128" s="254">
        <f>COUNTIF(O$2:O128, TRUE)/(COUNTIF(O$2:O128,FALSE) + COUNTIF(O$2:O128, TRUE))</f>
        <v>0.44881889763779526</v>
      </c>
      <c r="Q128" s="341"/>
      <c r="R128" s="341"/>
      <c r="S128" s="341"/>
      <c r="T128" s="341"/>
      <c r="U128" s="254">
        <f>STDEV(D$2:D128)*SQRT(252)</f>
        <v>0.20740391827467</v>
      </c>
      <c r="V128" s="254">
        <f>STDEV(L$2:L128)*SQRT(252)</f>
        <v>0.39391671411506929</v>
      </c>
      <c r="W128" s="253">
        <f t="shared" si="23"/>
        <v>-0.95600595635044083</v>
      </c>
    </row>
    <row r="129" spans="1:23" ht="20.100000000000001" customHeight="1" x14ac:dyDescent="0.25">
      <c r="B129" s="246">
        <v>42418</v>
      </c>
      <c r="C129" s="247">
        <v>1917.83</v>
      </c>
      <c r="D129" s="172">
        <f t="shared" si="24"/>
        <v>-4.6657186452289312E-3</v>
      </c>
      <c r="E129" s="248">
        <f t="shared" si="41"/>
        <v>-8.7807499857308707E-2</v>
      </c>
      <c r="F129" s="249">
        <v>4487.53</v>
      </c>
      <c r="G129" s="172">
        <f t="shared" si="21"/>
        <v>-1.0262325597808731E-2</v>
      </c>
      <c r="H129" s="250">
        <f t="shared" si="42"/>
        <v>-0.11865781566078129</v>
      </c>
      <c r="I129" s="251">
        <v>241680.12</v>
      </c>
      <c r="J129" s="252">
        <v>400000</v>
      </c>
      <c r="K129" s="252">
        <f t="shared" si="36"/>
        <v>-7685.1900000000023</v>
      </c>
      <c r="L129" s="172">
        <f t="shared" si="25"/>
        <v>-3.0819002049643562E-2</v>
      </c>
      <c r="M129" s="253">
        <f t="shared" si="39"/>
        <v>-158319.88</v>
      </c>
      <c r="N129" s="254">
        <f t="shared" si="40"/>
        <v>-0.39579970000000003</v>
      </c>
      <c r="O129" s="253" t="b">
        <f t="shared" si="38"/>
        <v>0</v>
      </c>
      <c r="P129" s="254">
        <f>COUNTIF(O$2:O129, TRUE)/(COUNTIF(O$2:O129,FALSE) + COUNTIF(O$2:O129, TRUE))</f>
        <v>0.4453125</v>
      </c>
      <c r="Q129" s="341"/>
      <c r="R129" s="341"/>
      <c r="S129" s="341"/>
      <c r="T129" s="341"/>
      <c r="U129" s="254">
        <f>STDEV(D$2:D129)*SQRT(252)</f>
        <v>0.20665833739123632</v>
      </c>
      <c r="V129" s="254">
        <f>STDEV(L$2:L129)*SQRT(252)</f>
        <v>0.39434419152440775</v>
      </c>
      <c r="W129" s="253">
        <f t="shared" si="23"/>
        <v>-1.0036909595903156</v>
      </c>
    </row>
    <row r="130" spans="1:23" ht="20.100000000000001" customHeight="1" x14ac:dyDescent="0.25">
      <c r="B130" s="246">
        <v>42419</v>
      </c>
      <c r="C130" s="247">
        <v>1917.78</v>
      </c>
      <c r="D130" s="172">
        <f t="shared" si="24"/>
        <v>-2.6071132477828863E-5</v>
      </c>
      <c r="E130" s="248">
        <f t="shared" si="41"/>
        <v>-8.7831281748825207E-2</v>
      </c>
      <c r="F130" s="249">
        <v>4504.43</v>
      </c>
      <c r="G130" s="172">
        <f t="shared" si="21"/>
        <v>3.7659915365469529E-3</v>
      </c>
      <c r="H130" s="250">
        <f t="shared" si="42"/>
        <v>-0.11533868845375798</v>
      </c>
      <c r="I130" s="251">
        <v>236145.17</v>
      </c>
      <c r="J130" s="252">
        <v>400000</v>
      </c>
      <c r="K130" s="252">
        <f t="shared" si="36"/>
        <v>-5534.9499999999534</v>
      </c>
      <c r="L130" s="172">
        <f t="shared" si="25"/>
        <v>-2.290196645052954E-2</v>
      </c>
      <c r="M130" s="253">
        <f t="shared" si="39"/>
        <v>-163854.82999999999</v>
      </c>
      <c r="N130" s="254">
        <f t="shared" si="40"/>
        <v>-0.40963707499999996</v>
      </c>
      <c r="O130" s="253" t="b">
        <f t="shared" si="38"/>
        <v>0</v>
      </c>
      <c r="P130" s="254">
        <f>COUNTIF(O$2:O130, TRUE)/(COUNTIF(O$2:O130,FALSE) + COUNTIF(O$2:O130, TRUE))</f>
        <v>0.44186046511627908</v>
      </c>
      <c r="Q130" s="341"/>
      <c r="R130" s="341"/>
      <c r="S130" s="341"/>
      <c r="T130" s="341"/>
      <c r="U130" s="254">
        <f>STDEV(D$2:D130)*SQRT(252)</f>
        <v>0.20584491170892685</v>
      </c>
      <c r="V130" s="254">
        <f>STDEV(L$2:L130)*SQRT(252)</f>
        <v>0.39378743351445816</v>
      </c>
      <c r="W130" s="253">
        <f t="shared" si="23"/>
        <v>-1.040249231277107</v>
      </c>
    </row>
    <row r="131" spans="1:23" ht="20.100000000000001" customHeight="1" x14ac:dyDescent="0.25">
      <c r="B131" s="173">
        <v>42422</v>
      </c>
      <c r="C131" s="217">
        <v>1945.5</v>
      </c>
      <c r="D131" s="172">
        <f t="shared" si="24"/>
        <v>1.4454212683415213E-2</v>
      </c>
      <c r="E131" s="211">
        <f t="shared" si="41"/>
        <v>-7.4646601092064488E-2</v>
      </c>
      <c r="F131" s="221">
        <v>4570.6000000000004</v>
      </c>
      <c r="G131" s="172">
        <f t="shared" si="21"/>
        <v>1.4689982972318378E-2</v>
      </c>
      <c r="H131" s="205">
        <f t="shared" si="42"/>
        <v>-0.10234302885087485</v>
      </c>
      <c r="I131" s="223">
        <v>248415.23</v>
      </c>
      <c r="J131" s="174">
        <v>400000</v>
      </c>
      <c r="K131" s="174">
        <f t="shared" si="36"/>
        <v>12270.059999999998</v>
      </c>
      <c r="L131" s="172">
        <f t="shared" si="25"/>
        <v>5.1959817768028022E-2</v>
      </c>
      <c r="M131" s="184">
        <f t="shared" si="39"/>
        <v>-151584.76999999999</v>
      </c>
      <c r="N131" s="186">
        <f t="shared" si="40"/>
        <v>-0.37896192499999998</v>
      </c>
      <c r="O131" s="184" t="b">
        <f t="shared" si="38"/>
        <v>1</v>
      </c>
      <c r="P131" s="186">
        <f>COUNTIF(O$2:O131, TRUE)/(COUNTIF(O$2:O131,FALSE) + COUNTIF(O$2:O131, TRUE))</f>
        <v>0.44615384615384618</v>
      </c>
      <c r="Q131" s="340"/>
      <c r="R131" s="340"/>
      <c r="S131" s="340"/>
      <c r="T131" s="340"/>
      <c r="U131" s="186">
        <f>STDEV(D$2:D131)*SQRT(252)</f>
        <v>0.20612093442208271</v>
      </c>
      <c r="V131" s="186">
        <f>STDEV(L$2:L131)*SQRT(252)</f>
        <v>0.39971891584326358</v>
      </c>
      <c r="W131" s="184">
        <f t="shared" ref="W131:W194" si="43">N131/V131</f>
        <v>-0.94807103186629582</v>
      </c>
    </row>
    <row r="132" spans="1:23" ht="20.100000000000001" customHeight="1" x14ac:dyDescent="0.25">
      <c r="B132" s="173">
        <v>42423</v>
      </c>
      <c r="C132" s="210">
        <v>1921.27</v>
      </c>
      <c r="D132" s="172">
        <f t="shared" si="24"/>
        <v>-1.2454381906964801E-2</v>
      </c>
      <c r="E132" s="211">
        <f t="shared" si="41"/>
        <v>-8.6171305720971855E-2</v>
      </c>
      <c r="F132" s="221">
        <v>4503.58</v>
      </c>
      <c r="G132" s="172">
        <f t="shared" ref="G132:G165" si="44">(F132-F131)/F131</f>
        <v>-1.4663282719993093E-2</v>
      </c>
      <c r="H132" s="205">
        <f t="shared" si="42"/>
        <v>-0.11550562680440715</v>
      </c>
      <c r="I132" s="223">
        <v>238794.23</v>
      </c>
      <c r="J132" s="174">
        <v>400000</v>
      </c>
      <c r="K132" s="174">
        <f t="shared" si="36"/>
        <v>-9621</v>
      </c>
      <c r="L132" s="172">
        <f t="shared" ref="L132:L195" si="45">K132/I131</f>
        <v>-3.8729509458820213E-2</v>
      </c>
      <c r="M132" s="184">
        <f t="shared" si="39"/>
        <v>-161205.76999999999</v>
      </c>
      <c r="N132" s="186">
        <f t="shared" si="40"/>
        <v>-0.40301442499999995</v>
      </c>
      <c r="O132" s="184" t="b">
        <f t="shared" si="38"/>
        <v>0</v>
      </c>
      <c r="P132" s="186">
        <f>COUNTIF(O$2:O132, TRUE)/(COUNTIF(O$2:O132,FALSE) + COUNTIF(O$2:O132, TRUE))</f>
        <v>0.44274809160305345</v>
      </c>
      <c r="Q132" s="340"/>
      <c r="R132" s="340"/>
      <c r="S132" s="340"/>
      <c r="T132" s="340"/>
      <c r="U132" s="186">
        <f>STDEV(D$2:D132)*SQRT(252)</f>
        <v>0.20599200020691141</v>
      </c>
      <c r="V132" s="186">
        <f>STDEV(L$2:L132)*SQRT(252)</f>
        <v>0.40132200578539856</v>
      </c>
      <c r="W132" s="184">
        <f t="shared" si="43"/>
        <v>-1.0042171104255528</v>
      </c>
    </row>
    <row r="133" spans="1:23" ht="20.100000000000001" customHeight="1" x14ac:dyDescent="0.25">
      <c r="B133" s="173">
        <v>42424</v>
      </c>
      <c r="C133" s="217">
        <v>1929.8</v>
      </c>
      <c r="D133" s="172">
        <f t="shared" ref="D133:D165" si="46">(C133-C132)/C132</f>
        <v>4.439771609404182E-3</v>
      </c>
      <c r="E133" s="211">
        <f t="shared" si="41"/>
        <v>-8.2114115028252929E-2</v>
      </c>
      <c r="F133" s="221">
        <v>4542.6000000000004</v>
      </c>
      <c r="G133" s="172">
        <f t="shared" si="44"/>
        <v>8.6642182441525276E-3</v>
      </c>
      <c r="H133" s="205">
        <f t="shared" si="42"/>
        <v>-0.10784217451931565</v>
      </c>
      <c r="I133" s="223">
        <v>242422.46</v>
      </c>
      <c r="J133" s="174">
        <v>400000</v>
      </c>
      <c r="K133" s="174">
        <f t="shared" si="36"/>
        <v>3628.2299999999814</v>
      </c>
      <c r="L133" s="172">
        <f t="shared" si="45"/>
        <v>1.5193960088566551E-2</v>
      </c>
      <c r="M133" s="184">
        <f t="shared" si="39"/>
        <v>-157577.54</v>
      </c>
      <c r="N133" s="186">
        <f t="shared" si="40"/>
        <v>-0.39394385000000004</v>
      </c>
      <c r="O133" s="184" t="b">
        <f t="shared" si="38"/>
        <v>1</v>
      </c>
      <c r="P133" s="186">
        <f>COUNTIF(O$2:O133, TRUE)/(COUNTIF(O$2:O133,FALSE) + COUNTIF(O$2:O133, TRUE))</f>
        <v>0.44696969696969696</v>
      </c>
      <c r="Q133" s="340"/>
      <c r="R133" s="340"/>
      <c r="S133" s="340"/>
      <c r="T133" s="340"/>
      <c r="U133" s="186">
        <f>STDEV(D$2:D133)*SQRT(252)</f>
        <v>0.2053176523633603</v>
      </c>
      <c r="V133" s="186">
        <f>STDEV(L$2:L133)*SQRT(252)</f>
        <v>0.40056518042041067</v>
      </c>
      <c r="W133" s="184">
        <f t="shared" si="43"/>
        <v>-0.98347002998747601</v>
      </c>
    </row>
    <row r="134" spans="1:23" ht="20.100000000000001" customHeight="1" x14ac:dyDescent="0.25">
      <c r="B134" s="173">
        <v>42425</v>
      </c>
      <c r="C134" s="217">
        <v>1951.7</v>
      </c>
      <c r="D134" s="172">
        <f t="shared" si="46"/>
        <v>1.1348326251425065E-2</v>
      </c>
      <c r="E134" s="211">
        <f t="shared" ref="E134:E139" si="47">(C134-$C$2)/$C$2</f>
        <v>-7.1697646544015531E-2</v>
      </c>
      <c r="F134" s="221">
        <v>4582.2</v>
      </c>
      <c r="G134" s="172">
        <f t="shared" si="44"/>
        <v>8.7174745740323713E-3</v>
      </c>
      <c r="H134" s="205">
        <f t="shared" si="42"/>
        <v>-0.10006481135966377</v>
      </c>
      <c r="I134" s="223">
        <v>244524.77</v>
      </c>
      <c r="J134" s="174">
        <v>400000</v>
      </c>
      <c r="K134" s="174">
        <f t="shared" si="36"/>
        <v>2102.3099999999977</v>
      </c>
      <c r="L134" s="172">
        <f t="shared" si="45"/>
        <v>8.6720925115601824E-3</v>
      </c>
      <c r="M134" s="184">
        <f t="shared" si="39"/>
        <v>-155475.23000000001</v>
      </c>
      <c r="N134" s="186">
        <f t="shared" si="40"/>
        <v>-0.38868807500000002</v>
      </c>
      <c r="O134" s="184" t="b">
        <f t="shared" si="38"/>
        <v>0</v>
      </c>
      <c r="P134" s="186">
        <f>COUNTIF(O$2:O134, TRUE)/(COUNTIF(O$2:O134,FALSE) + COUNTIF(O$2:O134, TRUE))</f>
        <v>0.44360902255639095</v>
      </c>
      <c r="Q134" s="340"/>
      <c r="R134" s="340"/>
      <c r="S134" s="340"/>
      <c r="T134" s="340"/>
      <c r="U134" s="186">
        <f>STDEV(D$2:D134)*SQRT(252)</f>
        <v>0.2051944315202551</v>
      </c>
      <c r="V134" s="186">
        <f>STDEV(L$2:L134)*SQRT(252)</f>
        <v>0.399347738080158</v>
      </c>
      <c r="W134" s="184">
        <f t="shared" si="43"/>
        <v>-0.97330731574591178</v>
      </c>
    </row>
    <row r="135" spans="1:23" ht="20.100000000000001" customHeight="1" x14ac:dyDescent="0.25">
      <c r="B135" s="173">
        <v>42426</v>
      </c>
      <c r="C135" s="217">
        <v>1948.05</v>
      </c>
      <c r="D135" s="172">
        <f t="shared" si="46"/>
        <v>-1.8701644719988169E-3</v>
      </c>
      <c r="E135" s="211">
        <f t="shared" si="47"/>
        <v>-7.3433724624721794E-2</v>
      </c>
      <c r="F135" s="221">
        <v>4590.47</v>
      </c>
      <c r="G135" s="172">
        <f t="shared" si="44"/>
        <v>1.8048099166340266E-3</v>
      </c>
      <c r="H135" s="205">
        <f t="shared" si="42"/>
        <v>-9.8440599406877771E-2</v>
      </c>
      <c r="I135" s="223">
        <v>251916.67</v>
      </c>
      <c r="J135" s="174">
        <v>400000</v>
      </c>
      <c r="K135" s="174">
        <f t="shared" si="36"/>
        <v>7391.9000000000233</v>
      </c>
      <c r="L135" s="172">
        <f t="shared" si="45"/>
        <v>3.0229657306292623E-2</v>
      </c>
      <c r="M135" s="184">
        <f t="shared" si="39"/>
        <v>-148083.32999999999</v>
      </c>
      <c r="N135" s="186">
        <f t="shared" si="40"/>
        <v>-0.37020832499999995</v>
      </c>
      <c r="O135" s="184" t="b">
        <f t="shared" si="38"/>
        <v>1</v>
      </c>
      <c r="P135" s="186">
        <f>COUNTIF(O$2:O135, TRUE)/(COUNTIF(O$2:O135,FALSE) + COUNTIF(O$2:O135, TRUE))</f>
        <v>0.44776119402985076</v>
      </c>
      <c r="Q135" s="340"/>
      <c r="R135" s="340"/>
      <c r="S135" s="340"/>
      <c r="T135" s="340"/>
      <c r="U135" s="186">
        <f>STDEV(D$2:D135)*SQRT(252)</f>
        <v>0.20442465292014791</v>
      </c>
      <c r="V135" s="186">
        <f>STDEV(L$2:L135)*SQRT(252)</f>
        <v>0.40040715107254371</v>
      </c>
      <c r="W135" s="184">
        <f t="shared" si="43"/>
        <v>-0.92457970345521501</v>
      </c>
    </row>
    <row r="136" spans="1:23" ht="20.100000000000001" customHeight="1" x14ac:dyDescent="0.25">
      <c r="B136" s="246">
        <v>42429</v>
      </c>
      <c r="C136" s="247">
        <v>1932.23</v>
      </c>
      <c r="D136" s="172">
        <f t="shared" si="46"/>
        <v>-8.1209414542747545E-3</v>
      </c>
      <c r="E136" s="248">
        <f t="shared" si="47"/>
        <v>-8.0958315100549849E-2</v>
      </c>
      <c r="F136" s="249">
        <v>4557.95</v>
      </c>
      <c r="G136" s="172">
        <f t="shared" si="44"/>
        <v>-7.0842419185835953E-3</v>
      </c>
      <c r="H136" s="250">
        <f t="shared" si="42"/>
        <v>-0.10482746430465267</v>
      </c>
      <c r="I136" s="419">
        <v>254134.09</v>
      </c>
      <c r="J136" s="252">
        <v>400000</v>
      </c>
      <c r="K136" s="252">
        <f t="shared" si="36"/>
        <v>2217.4199999999837</v>
      </c>
      <c r="L136" s="172">
        <f t="shared" si="45"/>
        <v>8.8021963770797042E-3</v>
      </c>
      <c r="M136" s="253">
        <f t="shared" si="39"/>
        <v>-145865.91</v>
      </c>
      <c r="N136" s="254">
        <f t="shared" si="40"/>
        <v>-0.364664775</v>
      </c>
      <c r="O136" s="253" t="b">
        <f t="shared" si="38"/>
        <v>1</v>
      </c>
      <c r="P136" s="254">
        <f>COUNTIF(O$2:O136, TRUE)/(COUNTIF(O$2:O136,FALSE) + COUNTIF(O$2:O136, TRUE))</f>
        <v>0.45185185185185184</v>
      </c>
      <c r="Q136" s="341"/>
      <c r="R136" s="341"/>
      <c r="S136" s="341"/>
      <c r="T136" s="341"/>
      <c r="U136" s="254">
        <f>STDEV(D$2:D136)*SQRT(252)</f>
        <v>0.20392331073233147</v>
      </c>
      <c r="V136" s="254">
        <f>STDEV(L$2:L136)*SQRT(252)</f>
        <v>0.39919785402030938</v>
      </c>
      <c r="W136" s="253">
        <f t="shared" si="43"/>
        <v>-0.91349382599999518</v>
      </c>
    </row>
    <row r="137" spans="1:23" ht="20.100000000000001" customHeight="1" x14ac:dyDescent="0.25">
      <c r="B137" s="246">
        <v>42430</v>
      </c>
      <c r="C137" s="247">
        <v>1978.35</v>
      </c>
      <c r="D137" s="172">
        <f t="shared" si="46"/>
        <v>2.3868794087660315E-2</v>
      </c>
      <c r="E137" s="248">
        <f t="shared" si="47"/>
        <v>-5.9021898365708481E-2</v>
      </c>
      <c r="F137" s="249">
        <v>4689.59</v>
      </c>
      <c r="G137" s="172">
        <f t="shared" si="44"/>
        <v>2.8881405017606672E-2</v>
      </c>
      <c r="H137" s="250">
        <f t="shared" si="42"/>
        <v>-7.8973623740597382E-2</v>
      </c>
      <c r="I137" s="251">
        <v>256289.63</v>
      </c>
      <c r="J137" s="252">
        <v>400000</v>
      </c>
      <c r="K137" s="252">
        <f t="shared" si="36"/>
        <v>2155.5400000000373</v>
      </c>
      <c r="L137" s="172">
        <f t="shared" si="45"/>
        <v>8.4819002440799547E-3</v>
      </c>
      <c r="M137" s="253">
        <f t="shared" si="39"/>
        <v>-143710.37</v>
      </c>
      <c r="N137" s="254">
        <f t="shared" si="40"/>
        <v>-0.359275925</v>
      </c>
      <c r="O137" s="253" t="b">
        <f t="shared" si="38"/>
        <v>0</v>
      </c>
      <c r="P137" s="254">
        <f>COUNTIF(O$2:O137, TRUE)/(COUNTIF(O$2:O137,FALSE) + COUNTIF(O$2:O137, TRUE))</f>
        <v>0.4485294117647059</v>
      </c>
      <c r="Q137" s="341"/>
      <c r="R137" s="341"/>
      <c r="S137" s="341"/>
      <c r="T137" s="341"/>
      <c r="U137" s="254">
        <f>STDEV(D$2:D137)*SQRT(252)</f>
        <v>0.205881606235845</v>
      </c>
      <c r="V137" s="254">
        <f>STDEV(L$2:L137)*SQRT(252)</f>
        <v>0.39798205719407453</v>
      </c>
      <c r="W137" s="253">
        <f t="shared" si="43"/>
        <v>-0.90274402703738066</v>
      </c>
    </row>
    <row r="138" spans="1:23" ht="20.100000000000001" customHeight="1" x14ac:dyDescent="0.25">
      <c r="B138" s="246">
        <v>42431</v>
      </c>
      <c r="C138" s="336">
        <v>1986.4749999999999</v>
      </c>
      <c r="D138" s="172">
        <f t="shared" si="46"/>
        <v>4.1069578183840069E-3</v>
      </c>
      <c r="E138" s="248">
        <f t="shared" si="47"/>
        <v>-5.5157340994273385E-2</v>
      </c>
      <c r="F138" s="249">
        <v>4703.42</v>
      </c>
      <c r="G138" s="172">
        <f t="shared" si="44"/>
        <v>2.9490851012561711E-3</v>
      </c>
      <c r="H138" s="250">
        <f t="shared" si="42"/>
        <v>-7.6257438576506811E-2</v>
      </c>
      <c r="I138" s="251">
        <v>273591.05</v>
      </c>
      <c r="J138" s="252">
        <v>400000</v>
      </c>
      <c r="K138" s="252">
        <f t="shared" si="36"/>
        <v>17301.419999999984</v>
      </c>
      <c r="L138" s="172">
        <f t="shared" si="45"/>
        <v>6.7507296335009667E-2</v>
      </c>
      <c r="M138" s="253">
        <f t="shared" si="39"/>
        <v>-126408.95000000001</v>
      </c>
      <c r="N138" s="254">
        <f t="shared" si="40"/>
        <v>-0.31602237500000002</v>
      </c>
      <c r="O138" s="253" t="b">
        <f t="shared" si="38"/>
        <v>1</v>
      </c>
      <c r="P138" s="254">
        <f>COUNTIF(O$2:O138, TRUE)/(COUNTIF(O$2:O138,FALSE) + COUNTIF(O$2:O138, TRUE))</f>
        <v>0.45255474452554745</v>
      </c>
      <c r="Q138" s="341"/>
      <c r="R138" s="341"/>
      <c r="S138" s="341"/>
      <c r="T138" s="341"/>
      <c r="U138" s="254">
        <f>STDEV(D$2:D138)*SQRT(252)</f>
        <v>0.20520805198323436</v>
      </c>
      <c r="V138" s="254">
        <f>STDEV(L$2:L138)*SQRT(252)</f>
        <v>0.40773104370834762</v>
      </c>
      <c r="W138" s="253">
        <f t="shared" si="43"/>
        <v>-0.77507557954319672</v>
      </c>
    </row>
    <row r="139" spans="1:23" ht="20.100000000000001" customHeight="1" x14ac:dyDescent="0.25">
      <c r="B139" s="246">
        <v>42432</v>
      </c>
      <c r="C139" s="336">
        <v>1993.4</v>
      </c>
      <c r="D139" s="172">
        <f t="shared" si="46"/>
        <v>3.4860745793428975E-3</v>
      </c>
      <c r="E139" s="248">
        <f t="shared" si="47"/>
        <v>-5.1863549019234775E-2</v>
      </c>
      <c r="F139" s="249">
        <v>4707.42</v>
      </c>
      <c r="G139" s="172">
        <f t="shared" si="44"/>
        <v>8.5044499534381367E-4</v>
      </c>
      <c r="H139" s="250">
        <f t="shared" si="42"/>
        <v>-7.5471846338158136E-2</v>
      </c>
      <c r="I139" s="251">
        <v>284465.09999999998</v>
      </c>
      <c r="J139" s="252">
        <v>400000</v>
      </c>
      <c r="K139" s="252">
        <f t="shared" si="36"/>
        <v>10874.049999999988</v>
      </c>
      <c r="L139" s="172">
        <f t="shared" si="45"/>
        <v>3.9745634954067355E-2</v>
      </c>
      <c r="M139" s="253">
        <f t="shared" si="39"/>
        <v>-115534.90000000002</v>
      </c>
      <c r="N139" s="254">
        <f t="shared" si="40"/>
        <v>-0.28883725000000005</v>
      </c>
      <c r="O139" s="253" t="b">
        <f t="shared" si="38"/>
        <v>1</v>
      </c>
      <c r="P139" s="254">
        <f>COUNTIF(O$2:O139, TRUE)/(COUNTIF(O$2:O139,FALSE) + COUNTIF(O$2:O139, TRUE))</f>
        <v>0.45652173913043476</v>
      </c>
      <c r="Q139" s="341"/>
      <c r="R139" s="341"/>
      <c r="S139" s="341"/>
      <c r="T139" s="341"/>
      <c r="U139" s="254">
        <f>STDEV(D$2:D139)*SQRT(252)</f>
        <v>0.20451785527923064</v>
      </c>
      <c r="V139" s="254">
        <f>STDEV(L$2:L139)*SQRT(252)</f>
        <v>0.41011498593156359</v>
      </c>
      <c r="W139" s="253">
        <f t="shared" si="43"/>
        <v>-0.70428357877221948</v>
      </c>
    </row>
    <row r="140" spans="1:23" ht="20.100000000000001" customHeight="1" x14ac:dyDescent="0.25">
      <c r="B140" s="246">
        <v>42433</v>
      </c>
      <c r="C140" s="247">
        <v>1999.99</v>
      </c>
      <c r="D140" s="172">
        <f t="shared" si="46"/>
        <v>3.3059095013544286E-3</v>
      </c>
      <c r="E140" s="248">
        <f t="shared" ref="E140:E171" si="48">(C140-$C$2)/$C$2</f>
        <v>-4.8729095717356993E-2</v>
      </c>
      <c r="F140" s="249">
        <v>4717.0200000000004</v>
      </c>
      <c r="G140" s="172">
        <f t="shared" si="44"/>
        <v>2.0393336477306811E-3</v>
      </c>
      <c r="H140" s="250">
        <f t="shared" si="42"/>
        <v>-7.3586424966121222E-2</v>
      </c>
      <c r="I140" s="251">
        <v>295168.58</v>
      </c>
      <c r="J140" s="252">
        <v>400000</v>
      </c>
      <c r="K140" s="252">
        <f t="shared" si="36"/>
        <v>10703.48000000004</v>
      </c>
      <c r="L140" s="172">
        <f t="shared" si="45"/>
        <v>3.7626689530631495E-2</v>
      </c>
      <c r="M140" s="253">
        <f t="shared" si="39"/>
        <v>-104831.41999999998</v>
      </c>
      <c r="N140" s="254">
        <f t="shared" si="40"/>
        <v>-0.26207854999999997</v>
      </c>
      <c r="O140" s="253" t="b">
        <f t="shared" si="38"/>
        <v>1</v>
      </c>
      <c r="P140" s="254">
        <f>COUNTIF(O$2:O140, TRUE)/(COUNTIF(O$2:O140,FALSE) + COUNTIF(O$2:O140, TRUE))</f>
        <v>0.46043165467625902</v>
      </c>
      <c r="Q140" s="341"/>
      <c r="R140" s="341"/>
      <c r="S140" s="341"/>
      <c r="T140" s="341"/>
      <c r="U140" s="254">
        <f>STDEV(D$2:D140)*SQRT(252)</f>
        <v>0.20382852547723848</v>
      </c>
      <c r="V140" s="254">
        <f>STDEV(L$2:L140)*SQRT(252)</f>
        <v>0.41201829569755161</v>
      </c>
      <c r="W140" s="253">
        <f t="shared" si="43"/>
        <v>-0.63608473880097494</v>
      </c>
    </row>
    <row r="141" spans="1:23" ht="20.100000000000001" customHeight="1" x14ac:dyDescent="0.25">
      <c r="B141" s="173">
        <v>42436</v>
      </c>
      <c r="C141" s="217">
        <v>2001.76</v>
      </c>
      <c r="D141" s="172">
        <f t="shared" si="46"/>
        <v>8.8500442502211603E-4</v>
      </c>
      <c r="E141" s="211">
        <f t="shared" si="48"/>
        <v>-4.7887216757672067E-2</v>
      </c>
      <c r="F141" s="221">
        <v>4708.5200000000004</v>
      </c>
      <c r="G141" s="172">
        <f t="shared" si="44"/>
        <v>-1.8019851516423502E-3</v>
      </c>
      <c r="H141" s="205">
        <f t="shared" si="42"/>
        <v>-7.5255808472612165E-2</v>
      </c>
      <c r="I141" s="223">
        <v>295332.12</v>
      </c>
      <c r="J141" s="174">
        <v>400000</v>
      </c>
      <c r="K141" s="174">
        <f t="shared" si="36"/>
        <v>163.53999999997905</v>
      </c>
      <c r="L141" s="172">
        <f t="shared" si="45"/>
        <v>5.5405626167927171E-4</v>
      </c>
      <c r="M141" s="184">
        <f t="shared" si="39"/>
        <v>-104667.88</v>
      </c>
      <c r="N141" s="186">
        <f t="shared" si="40"/>
        <v>-0.26166970000000001</v>
      </c>
      <c r="O141" s="184" t="b">
        <f t="shared" si="38"/>
        <v>0</v>
      </c>
      <c r="P141" s="186">
        <f>COUNTIF(O$2:O141, TRUE)/(COUNTIF(O$2:O141,FALSE) + COUNTIF(O$2:O141, TRUE))</f>
        <v>0.45714285714285713</v>
      </c>
      <c r="Q141" s="340"/>
      <c r="R141" s="340"/>
      <c r="S141" s="340"/>
      <c r="T141" s="340"/>
      <c r="U141" s="186">
        <f>STDEV(D$2:D141)*SQRT(252)</f>
        <v>0.20309473146639889</v>
      </c>
      <c r="V141" s="186">
        <f>STDEV(L$2:L141)*SQRT(252)</f>
        <v>0.41052951691081185</v>
      </c>
      <c r="W141" s="184">
        <f t="shared" si="43"/>
        <v>-0.63739558112419026</v>
      </c>
    </row>
    <row r="142" spans="1:23" ht="20.100000000000001" customHeight="1" x14ac:dyDescent="0.25">
      <c r="B142" s="173">
        <v>42437</v>
      </c>
      <c r="C142" s="217">
        <v>1979.26</v>
      </c>
      <c r="D142" s="172">
        <f t="shared" si="46"/>
        <v>-1.124010870434018E-2</v>
      </c>
      <c r="E142" s="211">
        <f t="shared" si="48"/>
        <v>-5.8589067940107716E-2</v>
      </c>
      <c r="F142" s="221">
        <v>4648.82</v>
      </c>
      <c r="G142" s="172">
        <f t="shared" si="44"/>
        <v>-1.2679143340157994E-2</v>
      </c>
      <c r="H142" s="205">
        <f t="shared" ref="H142:H173" si="49">(F142-F$2)/F$2</f>
        <v>-8.6980772629966438E-2</v>
      </c>
      <c r="I142" s="223">
        <v>279655.23</v>
      </c>
      <c r="J142" s="174">
        <v>400000</v>
      </c>
      <c r="K142" s="174">
        <f t="shared" si="36"/>
        <v>-15676.890000000014</v>
      </c>
      <c r="L142" s="172">
        <f t="shared" si="45"/>
        <v>-5.3082238396555084E-2</v>
      </c>
      <c r="M142" s="184">
        <f t="shared" si="39"/>
        <v>-120344.77000000002</v>
      </c>
      <c r="N142" s="186">
        <f t="shared" si="40"/>
        <v>-0.30086192500000003</v>
      </c>
      <c r="O142" s="184" t="b">
        <f t="shared" si="38"/>
        <v>0</v>
      </c>
      <c r="P142" s="186">
        <f>COUNTIF(O$2:O142, TRUE)/(COUNTIF(O$2:O142,FALSE) + COUNTIF(O$2:O142, TRUE))</f>
        <v>0.45390070921985815</v>
      </c>
      <c r="Q142" s="340"/>
      <c r="R142" s="340"/>
      <c r="S142" s="340"/>
      <c r="T142" s="340"/>
      <c r="U142" s="186">
        <f>STDEV(D$2:D142)*SQRT(252)</f>
        <v>0.2028972139328496</v>
      </c>
      <c r="V142" s="186">
        <f>STDEV(L$2:L142)*SQRT(252)</f>
        <v>0.41493428525347442</v>
      </c>
      <c r="W142" s="184">
        <f t="shared" si="43"/>
        <v>-0.72508331003838344</v>
      </c>
    </row>
    <row r="143" spans="1:23" ht="20.100000000000001" customHeight="1" x14ac:dyDescent="0.25">
      <c r="B143" s="173">
        <v>42438</v>
      </c>
      <c r="C143" s="217">
        <v>1989.26</v>
      </c>
      <c r="D143" s="172">
        <f t="shared" si="46"/>
        <v>5.0523933187150757E-3</v>
      </c>
      <c r="E143" s="211">
        <f t="shared" si="48"/>
        <v>-5.3832689636802981E-2</v>
      </c>
      <c r="F143" s="221">
        <v>4674.37</v>
      </c>
      <c r="G143" s="172">
        <f t="shared" si="44"/>
        <v>5.4960183444401336E-3</v>
      </c>
      <c r="H143" s="205">
        <f t="shared" si="49"/>
        <v>-8.1962802207514174E-2</v>
      </c>
      <c r="I143" s="223">
        <v>284441.56</v>
      </c>
      <c r="J143" s="174">
        <v>400000</v>
      </c>
      <c r="K143" s="174">
        <f t="shared" si="36"/>
        <v>4786.3300000000163</v>
      </c>
      <c r="L143" s="172">
        <f t="shared" si="45"/>
        <v>1.7115109915877547E-2</v>
      </c>
      <c r="M143" s="184">
        <f t="shared" si="39"/>
        <v>-115558.44</v>
      </c>
      <c r="N143" s="186">
        <f t="shared" si="40"/>
        <v>-0.28889609999999999</v>
      </c>
      <c r="O143" s="184" t="b">
        <f t="shared" si="38"/>
        <v>1</v>
      </c>
      <c r="P143" s="186">
        <f>COUNTIF(O$2:O143, TRUE)/(COUNTIF(O$2:O143,FALSE) + COUNTIF(O$2:O143, TRUE))</f>
        <v>0.45774647887323944</v>
      </c>
      <c r="Q143" s="340"/>
      <c r="R143" s="340"/>
      <c r="S143" s="340"/>
      <c r="T143" s="340"/>
      <c r="U143" s="186">
        <f>STDEV(D$2:D143)*SQRT(252)</f>
        <v>0.20230024410689199</v>
      </c>
      <c r="V143" s="186">
        <f>STDEV(L$2:L143)*SQRT(252)</f>
        <v>0.41420228414527577</v>
      </c>
      <c r="W143" s="184">
        <f t="shared" si="43"/>
        <v>-0.69747587364504648</v>
      </c>
    </row>
    <row r="144" spans="1:23" ht="20.100000000000001" customHeight="1" x14ac:dyDescent="0.25">
      <c r="A144" s="223"/>
      <c r="B144" s="173">
        <v>42439</v>
      </c>
      <c r="C144" s="217">
        <v>1989.57</v>
      </c>
      <c r="D144" s="172">
        <f t="shared" si="46"/>
        <v>1.5583684385145504E-4</v>
      </c>
      <c r="E144" s="211">
        <f t="shared" si="48"/>
        <v>-5.3685241909400563E-2</v>
      </c>
      <c r="F144" s="221">
        <v>4662.1499999999996</v>
      </c>
      <c r="G144" s="172">
        <f t="shared" si="44"/>
        <v>-2.6142560387817514E-3</v>
      </c>
      <c r="H144" s="205">
        <f t="shared" si="49"/>
        <v>-8.4362786495669459E-2</v>
      </c>
      <c r="I144" s="223">
        <v>287418.99</v>
      </c>
      <c r="J144" s="174">
        <v>400000</v>
      </c>
      <c r="K144" s="174">
        <f t="shared" si="36"/>
        <v>2977.429999999993</v>
      </c>
      <c r="L144" s="172">
        <f t="shared" si="45"/>
        <v>1.0467633492095856E-2</v>
      </c>
      <c r="M144" s="184">
        <f t="shared" si="39"/>
        <v>-112581.01000000001</v>
      </c>
      <c r="N144" s="186">
        <f t="shared" si="40"/>
        <v>-0.28145252500000001</v>
      </c>
      <c r="O144" s="184" t="b">
        <f t="shared" si="38"/>
        <v>1</v>
      </c>
      <c r="P144" s="186">
        <f>COUNTIF(O$2:O144, TRUE)/(COUNTIF(O$2:O144,FALSE) + COUNTIF(O$2:O144, TRUE))</f>
        <v>0.46153846153846156</v>
      </c>
      <c r="Q144" s="340"/>
      <c r="R144" s="340"/>
      <c r="S144" s="340"/>
      <c r="T144" s="340"/>
      <c r="U144" s="186">
        <f>STDEV(D$2:D144)*SQRT(252)</f>
        <v>0.20158255288168328</v>
      </c>
      <c r="V144" s="186">
        <f>STDEV(L$2:L144)*SQRT(252)</f>
        <v>0.41303460915058671</v>
      </c>
      <c r="W144" s="184">
        <f t="shared" si="43"/>
        <v>-0.68142600829216782</v>
      </c>
    </row>
    <row r="145" spans="2:23" ht="20.100000000000001" customHeight="1" x14ac:dyDescent="0.25">
      <c r="B145" s="173">
        <v>42440</v>
      </c>
      <c r="C145" s="217">
        <v>2022.19</v>
      </c>
      <c r="D145" s="172">
        <f t="shared" si="46"/>
        <v>1.6395502545776285E-2</v>
      </c>
      <c r="E145" s="211">
        <f t="shared" si="48"/>
        <v>-3.816993588402047E-2</v>
      </c>
      <c r="F145" s="221">
        <v>4748.47</v>
      </c>
      <c r="G145" s="172">
        <f t="shared" si="44"/>
        <v>1.8515062792917564E-2</v>
      </c>
      <c r="H145" s="205">
        <f t="shared" si="49"/>
        <v>-6.7409705992104718E-2</v>
      </c>
      <c r="I145" s="223">
        <v>297529.25</v>
      </c>
      <c r="J145" s="174">
        <v>400000</v>
      </c>
      <c r="K145" s="174">
        <f t="shared" si="36"/>
        <v>10110.260000000009</v>
      </c>
      <c r="L145" s="172">
        <f t="shared" si="45"/>
        <v>3.5176033427714741E-2</v>
      </c>
      <c r="M145" s="184">
        <f t="shared" si="39"/>
        <v>-102470.75</v>
      </c>
      <c r="N145" s="186">
        <f t="shared" si="40"/>
        <v>-0.25617687500000003</v>
      </c>
      <c r="O145" s="184" t="b">
        <f t="shared" si="38"/>
        <v>1</v>
      </c>
      <c r="P145" s="186">
        <f>COUNTIF(O$2:O145, TRUE)/(COUNTIF(O$2:O145,FALSE) + COUNTIF(O$2:O145, TRUE))</f>
        <v>0.46527777777777779</v>
      </c>
      <c r="Q145" s="340"/>
      <c r="R145" s="340"/>
      <c r="S145" s="340"/>
      <c r="T145" s="340"/>
      <c r="U145" s="186">
        <f>STDEV(D$2:D145)*SQRT(252)</f>
        <v>0.20209170666788678</v>
      </c>
      <c r="V145" s="186">
        <f>STDEV(L$2:L145)*SQRT(252)</f>
        <v>0.41442203469244021</v>
      </c>
      <c r="W145" s="184">
        <f t="shared" si="43"/>
        <v>-0.61815457083530689</v>
      </c>
    </row>
    <row r="146" spans="2:23" ht="20.100000000000001" customHeight="1" x14ac:dyDescent="0.25">
      <c r="B146" s="246">
        <v>42443</v>
      </c>
      <c r="C146" s="247">
        <v>2019.64</v>
      </c>
      <c r="D146" s="172">
        <f t="shared" si="46"/>
        <v>-1.261009103991195E-3</v>
      </c>
      <c r="E146" s="248">
        <f t="shared" si="48"/>
        <v>-3.9382812351363157E-2</v>
      </c>
      <c r="F146" s="249">
        <v>4750.28</v>
      </c>
      <c r="G146" s="172">
        <f t="shared" si="44"/>
        <v>3.8117541018464697E-4</v>
      </c>
      <c r="H146" s="250">
        <f t="shared" si="49"/>
        <v>-6.7054225504252038E-2</v>
      </c>
      <c r="I146" s="251">
        <v>295383.49</v>
      </c>
      <c r="J146" s="252">
        <v>400000</v>
      </c>
      <c r="K146" s="252">
        <f t="shared" si="36"/>
        <v>-2145.7600000000093</v>
      </c>
      <c r="L146" s="172">
        <f t="shared" si="45"/>
        <v>-7.2119295833939327E-3</v>
      </c>
      <c r="M146" s="253">
        <f t="shared" si="39"/>
        <v>-104616.51000000001</v>
      </c>
      <c r="N146" s="254">
        <f t="shared" si="40"/>
        <v>-0.26154127500000002</v>
      </c>
      <c r="O146" s="253" t="b">
        <f t="shared" si="38"/>
        <v>0</v>
      </c>
      <c r="P146" s="254">
        <f>COUNTIF(O$2:O146, TRUE)/(COUNTIF(O$2:O146,FALSE) + COUNTIF(O$2:O146, TRUE))</f>
        <v>0.46206896551724136</v>
      </c>
      <c r="Q146" s="252"/>
      <c r="R146" s="252"/>
      <c r="S146" s="252"/>
      <c r="T146" s="252"/>
      <c r="U146" s="254">
        <f>STDEV(D$2:D146)*SQRT(252)</f>
        <v>0.20138882204680125</v>
      </c>
      <c r="V146" s="254">
        <f>STDEV(L$2:L146)*SQRT(252)</f>
        <v>0.41305007987980863</v>
      </c>
      <c r="W146" s="253">
        <f t="shared" si="43"/>
        <v>-0.63319507183270518</v>
      </c>
    </row>
    <row r="147" spans="2:23" ht="20.100000000000001" customHeight="1" x14ac:dyDescent="0.25">
      <c r="B147" s="246">
        <v>42444</v>
      </c>
      <c r="C147" s="247">
        <v>2015.93</v>
      </c>
      <c r="D147" s="172">
        <f t="shared" si="46"/>
        <v>-1.8369610425620587E-3</v>
      </c>
      <c r="E147" s="248">
        <f t="shared" si="48"/>
        <v>-4.1147428701889227E-2</v>
      </c>
      <c r="F147" s="249">
        <v>4728.66</v>
      </c>
      <c r="G147" s="172">
        <f t="shared" si="44"/>
        <v>-4.5513106595821496E-3</v>
      </c>
      <c r="H147" s="250">
        <f t="shared" si="49"/>
        <v>-7.1300351552526661E-2</v>
      </c>
      <c r="I147" s="251">
        <v>295669.06</v>
      </c>
      <c r="J147" s="252">
        <v>400000</v>
      </c>
      <c r="K147" s="252">
        <f t="shared" si="36"/>
        <v>285.57000000000698</v>
      </c>
      <c r="L147" s="172">
        <f t="shared" si="45"/>
        <v>9.6677712082014809E-4</v>
      </c>
      <c r="M147" s="253">
        <f t="shared" si="39"/>
        <v>-104330.94</v>
      </c>
      <c r="N147" s="254">
        <f t="shared" si="40"/>
        <v>-0.26082735000000001</v>
      </c>
      <c r="O147" s="253" t="b">
        <f t="shared" si="38"/>
        <v>1</v>
      </c>
      <c r="P147" s="254">
        <f>COUNTIF(O$2:O147, TRUE)/(COUNTIF(O$2:O147,FALSE) + COUNTIF(O$2:O147, TRUE))</f>
        <v>0.46575342465753422</v>
      </c>
      <c r="Q147" s="252"/>
      <c r="R147" s="252"/>
      <c r="S147" s="252"/>
      <c r="T147" s="252"/>
      <c r="U147" s="254">
        <f>STDEV(D$2:D147)*SQRT(252)</f>
        <v>0.20069995386729664</v>
      </c>
      <c r="V147" s="254">
        <f>STDEV(L$2:L147)*SQRT(252)</f>
        <v>0.41162261053938765</v>
      </c>
      <c r="W147" s="253">
        <f t="shared" si="43"/>
        <v>-0.63365651769763942</v>
      </c>
    </row>
    <row r="148" spans="2:23" ht="20.100000000000001" customHeight="1" x14ac:dyDescent="0.25">
      <c r="B148" s="246">
        <v>42445</v>
      </c>
      <c r="C148" s="247">
        <v>2027.22</v>
      </c>
      <c r="D148" s="172">
        <f t="shared" si="46"/>
        <v>5.6003928707841853E-3</v>
      </c>
      <c r="E148" s="248">
        <f t="shared" si="48"/>
        <v>-3.5777477597458203E-2</v>
      </c>
      <c r="F148" s="249">
        <v>4763.97</v>
      </c>
      <c r="G148" s="172">
        <f t="shared" si="44"/>
        <v>7.467231731611154E-3</v>
      </c>
      <c r="H148" s="250">
        <f t="shared" si="49"/>
        <v>-6.4365536068503565E-2</v>
      </c>
      <c r="I148" s="251">
        <v>297622.03999999998</v>
      </c>
      <c r="J148" s="252">
        <v>400000</v>
      </c>
      <c r="K148" s="252">
        <f t="shared" si="36"/>
        <v>1952.9799999999814</v>
      </c>
      <c r="L148" s="172">
        <f t="shared" si="45"/>
        <v>6.6052903878409917E-3</v>
      </c>
      <c r="M148" s="253">
        <f t="shared" si="39"/>
        <v>-102377.96000000002</v>
      </c>
      <c r="N148" s="254">
        <f t="shared" si="40"/>
        <v>-0.25594490000000003</v>
      </c>
      <c r="O148" s="253" t="b">
        <f t="shared" si="38"/>
        <v>1</v>
      </c>
      <c r="P148" s="254">
        <f>COUNTIF(O$2:O148, TRUE)/(COUNTIF(O$2:O148,FALSE) + COUNTIF(O$2:O148, TRUE))</f>
        <v>0.46938775510204084</v>
      </c>
      <c r="Q148" s="252">
        <v>208116.46</v>
      </c>
      <c r="R148" s="252">
        <f t="shared" ref="R148:R153" si="50">I148-Q148</f>
        <v>89505.579999999987</v>
      </c>
      <c r="S148" s="252"/>
      <c r="T148" s="252"/>
      <c r="U148" s="254">
        <f>STDEV(D$2:D148)*SQRT(252)</f>
        <v>0.20015232316185677</v>
      </c>
      <c r="V148" s="254">
        <f>STDEV(L$2:L148)*SQRT(252)</f>
        <v>0.41032597832718526</v>
      </c>
      <c r="W148" s="253">
        <f t="shared" si="43"/>
        <v>-0.62375992142499681</v>
      </c>
    </row>
    <row r="149" spans="2:23" ht="20.100000000000001" customHeight="1" x14ac:dyDescent="0.25">
      <c r="B149" s="246">
        <v>42446</v>
      </c>
      <c r="C149" s="247">
        <v>2040.59</v>
      </c>
      <c r="D149" s="172">
        <f t="shared" si="46"/>
        <v>6.5952387999328593E-3</v>
      </c>
      <c r="E149" s="248">
        <f t="shared" si="48"/>
        <v>-2.9418199805939828E-2</v>
      </c>
      <c r="F149" s="249">
        <v>4774.9799999999996</v>
      </c>
      <c r="G149" s="172">
        <f t="shared" si="44"/>
        <v>2.3110976769373671E-3</v>
      </c>
      <c r="H149" s="250">
        <f t="shared" si="49"/>
        <v>-6.2203193432448942E-2</v>
      </c>
      <c r="I149" s="251">
        <v>298243.74</v>
      </c>
      <c r="J149" s="252">
        <v>400000</v>
      </c>
      <c r="K149" s="252">
        <f t="shared" si="36"/>
        <v>621.70000000001164</v>
      </c>
      <c r="L149" s="172">
        <f t="shared" si="45"/>
        <v>2.0888909974543946E-3</v>
      </c>
      <c r="M149" s="253">
        <f t="shared" si="39"/>
        <v>-101756.26000000001</v>
      </c>
      <c r="N149" s="254">
        <f t="shared" si="40"/>
        <v>-0.25439065</v>
      </c>
      <c r="O149" s="253" t="b">
        <f t="shared" si="38"/>
        <v>0</v>
      </c>
      <c r="P149" s="254">
        <f>COUNTIF(O$2:O149, TRUE)/(COUNTIF(O$2:O149,FALSE) + COUNTIF(O$2:O149, TRUE))</f>
        <v>0.46621621621621623</v>
      </c>
      <c r="Q149" s="252">
        <v>201345.75</v>
      </c>
      <c r="R149" s="252">
        <f t="shared" si="50"/>
        <v>96897.989999999991</v>
      </c>
      <c r="S149" s="252"/>
      <c r="T149" s="252"/>
      <c r="U149" s="254">
        <f>STDEV(D$2:D149)*SQRT(252)</f>
        <v>0.19966229894539708</v>
      </c>
      <c r="V149" s="254">
        <f>STDEV(L$2:L149)*SQRT(252)</f>
        <v>0.40893908230401166</v>
      </c>
      <c r="W149" s="253">
        <f t="shared" si="43"/>
        <v>-0.6220746830230377</v>
      </c>
    </row>
    <row r="150" spans="2:23" ht="20.100000000000001" customHeight="1" x14ac:dyDescent="0.25">
      <c r="B150" s="246">
        <v>42447</v>
      </c>
      <c r="C150" s="247">
        <v>2049.56</v>
      </c>
      <c r="D150" s="172">
        <f t="shared" si="46"/>
        <v>4.3957874928329688E-3</v>
      </c>
      <c r="E150" s="248">
        <f t="shared" si="48"/>
        <v>-2.5151728467875473E-2</v>
      </c>
      <c r="F150" s="249">
        <v>4795.6499999999996</v>
      </c>
      <c r="G150" s="172">
        <f t="shared" si="44"/>
        <v>4.3288139426762157E-3</v>
      </c>
      <c r="H150" s="250">
        <f t="shared" si="49"/>
        <v>-5.8143645540782093E-2</v>
      </c>
      <c r="I150" s="251">
        <v>302252.61</v>
      </c>
      <c r="J150" s="252">
        <v>400000</v>
      </c>
      <c r="K150" s="252">
        <f t="shared" si="36"/>
        <v>4008.8699999999953</v>
      </c>
      <c r="L150" s="172">
        <f t="shared" si="45"/>
        <v>1.3441589754742196E-2</v>
      </c>
      <c r="M150" s="253">
        <f t="shared" si="39"/>
        <v>-97747.390000000014</v>
      </c>
      <c r="N150" s="254">
        <f t="shared" si="40"/>
        <v>-0.24436847500000003</v>
      </c>
      <c r="O150" s="253" t="b">
        <f t="shared" si="38"/>
        <v>1</v>
      </c>
      <c r="P150" s="254">
        <f>COUNTIF(O$2:O150, TRUE)/(COUNTIF(O$2:O150,FALSE) + COUNTIF(O$2:O150, TRUE))</f>
        <v>0.46979865771812079</v>
      </c>
      <c r="Q150" s="252">
        <v>189023.24</v>
      </c>
      <c r="R150" s="252">
        <f t="shared" si="50"/>
        <v>113229.37</v>
      </c>
      <c r="S150" s="252"/>
      <c r="T150" s="252"/>
      <c r="U150" s="254">
        <f>STDEV(D$2:D150)*SQRT(252)</f>
        <v>0.19906941872329306</v>
      </c>
      <c r="V150" s="254">
        <f>STDEV(L$2:L150)*SQRT(252)</f>
        <v>0.40798335166369004</v>
      </c>
      <c r="W150" s="253">
        <f t="shared" si="43"/>
        <v>-0.59896678137356574</v>
      </c>
    </row>
    <row r="151" spans="2:23" ht="20.100000000000001" customHeight="1" x14ac:dyDescent="0.25">
      <c r="B151" s="173">
        <v>42450</v>
      </c>
      <c r="C151" s="217">
        <v>2051.6</v>
      </c>
      <c r="D151" s="172">
        <f t="shared" si="46"/>
        <v>9.9533558422293736E-4</v>
      </c>
      <c r="E151" s="211">
        <f t="shared" si="48"/>
        <v>-2.4181427294001325E-2</v>
      </c>
      <c r="F151" s="221">
        <v>4808.87</v>
      </c>
      <c r="G151" s="172">
        <f t="shared" si="44"/>
        <v>2.7566648942271132E-3</v>
      </c>
      <c r="H151" s="205">
        <f t="shared" si="49"/>
        <v>-5.5547263193039639E-2</v>
      </c>
      <c r="I151" s="223">
        <v>302397.02</v>
      </c>
      <c r="J151" s="174">
        <v>400000</v>
      </c>
      <c r="K151" s="174">
        <f t="shared" si="36"/>
        <v>144.4100000000326</v>
      </c>
      <c r="L151" s="172">
        <f t="shared" si="45"/>
        <v>4.7777916624121991E-4</v>
      </c>
      <c r="M151" s="184">
        <f t="shared" si="39"/>
        <v>-97602.979999999981</v>
      </c>
      <c r="N151" s="186">
        <f t="shared" si="40"/>
        <v>-0.24400744999999996</v>
      </c>
      <c r="O151" s="184" t="b">
        <f t="shared" si="38"/>
        <v>0</v>
      </c>
      <c r="P151" s="186">
        <f>COUNTIF(O$2:O151, TRUE)/(COUNTIF(O$2:O151,FALSE) + COUNTIF(O$2:O151, TRUE))</f>
        <v>0.46666666666666667</v>
      </c>
      <c r="Q151" s="174">
        <v>190702.94</v>
      </c>
      <c r="R151" s="174">
        <f t="shared" si="50"/>
        <v>111694.08000000002</v>
      </c>
      <c r="S151" s="174"/>
      <c r="T151" s="174"/>
      <c r="U151" s="186">
        <f>STDEV(D$2:D151)*SQRT(252)</f>
        <v>0.19840080405595206</v>
      </c>
      <c r="V151" s="186">
        <f>STDEV(L$2:L151)*SQRT(252)</f>
        <v>0.40660686098578552</v>
      </c>
      <c r="W151" s="184">
        <f t="shared" si="43"/>
        <v>-0.60010657323495131</v>
      </c>
    </row>
    <row r="152" spans="2:23" ht="20.100000000000001" customHeight="1" x14ac:dyDescent="0.25">
      <c r="B152" s="173">
        <v>42451</v>
      </c>
      <c r="C152" s="217">
        <v>2052.6</v>
      </c>
      <c r="D152" s="172">
        <f t="shared" si="46"/>
        <v>4.8742444921037243E-4</v>
      </c>
      <c r="E152" s="211">
        <f t="shared" si="48"/>
        <v>-2.370578946367085E-2</v>
      </c>
      <c r="F152" s="221">
        <v>4809.87</v>
      </c>
      <c r="G152" s="172">
        <f t="shared" si="44"/>
        <v>2.0794906079806691E-4</v>
      </c>
      <c r="H152" s="205">
        <f t="shared" si="49"/>
        <v>-5.535086513345247E-2</v>
      </c>
      <c r="I152" s="223">
        <v>300927.05</v>
      </c>
      <c r="J152" s="174">
        <v>400000</v>
      </c>
      <c r="K152" s="174">
        <f t="shared" ref="K152:K183" si="51">I152-I151-J152+J151</f>
        <v>-1469.9700000000303</v>
      </c>
      <c r="L152" s="172">
        <f t="shared" si="45"/>
        <v>-4.8610598080630228E-3</v>
      </c>
      <c r="M152" s="184">
        <f t="shared" si="39"/>
        <v>-99072.950000000012</v>
      </c>
      <c r="N152" s="186">
        <f t="shared" si="40"/>
        <v>-0.24768237500000004</v>
      </c>
      <c r="O152" s="184" t="b">
        <f t="shared" si="38"/>
        <v>0</v>
      </c>
      <c r="P152" s="186">
        <f>COUNTIF(O$2:O152, TRUE)/(COUNTIF(O$2:O152,FALSE) + COUNTIF(O$2:O152, TRUE))</f>
        <v>0.46357615894039733</v>
      </c>
      <c r="Q152" s="174">
        <v>208698.82</v>
      </c>
      <c r="R152" s="174">
        <f t="shared" si="50"/>
        <v>92228.229999999981</v>
      </c>
      <c r="S152" s="174"/>
      <c r="T152" s="174"/>
      <c r="U152" s="186">
        <f>STDEV(D$2:D152)*SQRT(252)</f>
        <v>0.19773530847085422</v>
      </c>
      <c r="V152" s="186">
        <f>STDEV(L$2:L152)*SQRT(252)</f>
        <v>0.40527216981287528</v>
      </c>
      <c r="W152" s="184">
        <f t="shared" si="43"/>
        <v>-0.61115071166707902</v>
      </c>
    </row>
    <row r="153" spans="2:23" ht="20.100000000000001" customHeight="1" x14ac:dyDescent="0.25">
      <c r="B153" s="173">
        <v>42452</v>
      </c>
      <c r="C153" s="217">
        <v>2036.71</v>
      </c>
      <c r="D153" s="172">
        <f t="shared" si="46"/>
        <v>-7.7414011497612166E-3</v>
      </c>
      <c r="E153" s="211">
        <f t="shared" si="48"/>
        <v>-3.1263674587622012E-2</v>
      </c>
      <c r="F153" s="221">
        <v>4768.8599999999997</v>
      </c>
      <c r="G153" s="172">
        <f t="shared" si="44"/>
        <v>-8.5262179643109306E-3</v>
      </c>
      <c r="H153" s="205">
        <f t="shared" si="49"/>
        <v>-6.3405149557122412E-2</v>
      </c>
      <c r="I153" s="223">
        <v>283106.53999999998</v>
      </c>
      <c r="J153" s="174">
        <v>400000</v>
      </c>
      <c r="K153" s="174">
        <f t="shared" si="51"/>
        <v>-17820.510000000009</v>
      </c>
      <c r="L153" s="172">
        <f t="shared" si="45"/>
        <v>-5.9218704333824458E-2</v>
      </c>
      <c r="M153" s="184">
        <f t="shared" si="39"/>
        <v>-116893.46000000002</v>
      </c>
      <c r="N153" s="186">
        <f t="shared" si="40"/>
        <v>-0.29223365000000007</v>
      </c>
      <c r="O153" s="184" t="b">
        <f t="shared" si="38"/>
        <v>0</v>
      </c>
      <c r="P153" s="186">
        <f>COUNTIF(O$2:O153, TRUE)/(COUNTIF(O$2:O153,FALSE) + COUNTIF(O$2:O153, TRUE))</f>
        <v>0.46052631578947367</v>
      </c>
      <c r="Q153" s="174">
        <v>233281.17</v>
      </c>
      <c r="R153" s="174">
        <f t="shared" si="50"/>
        <v>49825.369999999966</v>
      </c>
      <c r="S153" s="174"/>
      <c r="T153" s="174"/>
      <c r="U153" s="186">
        <f>STDEV(D$2:D153)*SQRT(252)</f>
        <v>0.19732328223466214</v>
      </c>
      <c r="V153" s="186">
        <f>STDEV(L$2:L153)*SQRT(252)</f>
        <v>0.41087213630897762</v>
      </c>
      <c r="W153" s="184">
        <f t="shared" si="43"/>
        <v>-0.71125205185546847</v>
      </c>
    </row>
    <row r="154" spans="2:23" ht="20.100000000000001" customHeight="1" x14ac:dyDescent="0.25">
      <c r="B154" s="173">
        <v>42453</v>
      </c>
      <c r="C154" s="217">
        <v>2035.94</v>
      </c>
      <c r="D154" s="172">
        <f t="shared" si="46"/>
        <v>-3.7806069592626431E-4</v>
      </c>
      <c r="E154" s="211">
        <f t="shared" si="48"/>
        <v>-3.1629915716976466E-2</v>
      </c>
      <c r="F154" s="221">
        <v>4773.5</v>
      </c>
      <c r="G154" s="172">
        <f t="shared" si="44"/>
        <v>9.7297886706683098E-4</v>
      </c>
      <c r="H154" s="205">
        <f t="shared" si="49"/>
        <v>-6.2493862560637867E-2</v>
      </c>
      <c r="I154" s="223">
        <v>283603.99</v>
      </c>
      <c r="J154" s="174">
        <v>400000</v>
      </c>
      <c r="K154" s="174">
        <f t="shared" si="51"/>
        <v>497.45000000001164</v>
      </c>
      <c r="L154" s="172">
        <f t="shared" si="45"/>
        <v>1.7571123577717832E-3</v>
      </c>
      <c r="M154" s="184">
        <f t="shared" si="39"/>
        <v>-116396.01000000001</v>
      </c>
      <c r="N154" s="186">
        <f t="shared" si="40"/>
        <v>-0.29099002500000004</v>
      </c>
      <c r="O154" s="184" t="b">
        <f t="shared" si="38"/>
        <v>1</v>
      </c>
      <c r="P154" s="186">
        <f>COUNTIF(O$2:O154, TRUE)/(COUNTIF(O$2:O154,FALSE) + COUNTIF(O$2:O154, TRUE))</f>
        <v>0.46405228758169936</v>
      </c>
      <c r="Q154" s="174">
        <v>233282.17</v>
      </c>
      <c r="R154" s="174">
        <f t="shared" ref="R154:R191" si="52">I154-Q154</f>
        <v>50321.819999999978</v>
      </c>
      <c r="S154" s="174"/>
      <c r="T154" s="174"/>
      <c r="U154" s="186">
        <f>STDEV(D$2:D154)*SQRT(252)</f>
        <v>0.19666906063244452</v>
      </c>
      <c r="V154" s="186">
        <f>STDEV(L$2:L154)*SQRT(252)</f>
        <v>0.40952879368350692</v>
      </c>
      <c r="W154" s="184">
        <f t="shared" si="43"/>
        <v>-0.71054838997446346</v>
      </c>
    </row>
    <row r="155" spans="2:23" ht="20.100000000000001" customHeight="1" x14ac:dyDescent="0.25">
      <c r="B155" s="246">
        <v>42457</v>
      </c>
      <c r="C155" s="247">
        <v>2037.05</v>
      </c>
      <c r="D155" s="172">
        <f t="shared" si="46"/>
        <v>5.4520270734889045E-4</v>
      </c>
      <c r="E155" s="248">
        <f t="shared" si="48"/>
        <v>-3.1101957725309687E-2</v>
      </c>
      <c r="F155" s="249">
        <v>4766.78</v>
      </c>
      <c r="G155" s="172">
        <f t="shared" si="44"/>
        <v>-1.4077720749974348E-3</v>
      </c>
      <c r="H155" s="250">
        <f t="shared" si="49"/>
        <v>-6.3813657521063702E-2</v>
      </c>
      <c r="I155" s="251">
        <v>281306.2</v>
      </c>
      <c r="J155" s="252">
        <v>400000</v>
      </c>
      <c r="K155" s="252">
        <f t="shared" si="51"/>
        <v>-2297.789999999979</v>
      </c>
      <c r="L155" s="172">
        <f t="shared" si="45"/>
        <v>-8.1021074491934297E-3</v>
      </c>
      <c r="M155" s="253">
        <f t="shared" si="39"/>
        <v>-118693.79999999999</v>
      </c>
      <c r="N155" s="254">
        <f t="shared" si="40"/>
        <v>-0.29673449999999996</v>
      </c>
      <c r="O155" s="253" t="b">
        <f t="shared" ref="O155:O191" si="53">L155&gt;D155</f>
        <v>0</v>
      </c>
      <c r="P155" s="254">
        <f>COUNTIF(O$2:O155, TRUE)/(COUNTIF(O$2:O155,FALSE) + COUNTIF(O$2:O155, TRUE))</f>
        <v>0.46103896103896103</v>
      </c>
      <c r="Q155" s="252">
        <v>231480.83</v>
      </c>
      <c r="R155" s="252">
        <f t="shared" si="52"/>
        <v>49825.370000000024</v>
      </c>
      <c r="S155" s="252"/>
      <c r="T155" s="252"/>
      <c r="U155" s="254">
        <f>STDEV(D$2:D155)*SQRT(252)</f>
        <v>0.19602299974071929</v>
      </c>
      <c r="V155" s="254">
        <f>STDEV(L$2:L155)*SQRT(252)</f>
        <v>0.40827222780986738</v>
      </c>
      <c r="W155" s="253">
        <f t="shared" si="43"/>
        <v>-0.72680549836024944</v>
      </c>
    </row>
    <row r="156" spans="2:23" ht="20.100000000000001" customHeight="1" x14ac:dyDescent="0.25">
      <c r="B156" s="246">
        <v>42458</v>
      </c>
      <c r="C156" s="247">
        <v>2055.0100000000002</v>
      </c>
      <c r="D156" s="172">
        <f t="shared" si="46"/>
        <v>8.8166711666381598E-3</v>
      </c>
      <c r="E156" s="248">
        <f t="shared" si="48"/>
        <v>-2.2559502292574262E-2</v>
      </c>
      <c r="F156" s="249">
        <v>4846.62</v>
      </c>
      <c r="G156" s="172">
        <f t="shared" si="44"/>
        <v>1.6749252115683993E-2</v>
      </c>
      <c r="H156" s="250">
        <f t="shared" si="49"/>
        <v>-4.8133236443623925E-2</v>
      </c>
      <c r="I156" s="251">
        <v>285322.46999999997</v>
      </c>
      <c r="J156" s="252">
        <v>400000</v>
      </c>
      <c r="K156" s="252">
        <f t="shared" si="51"/>
        <v>4016.2699999999604</v>
      </c>
      <c r="L156" s="172">
        <f t="shared" si="45"/>
        <v>1.4277218205641967E-2</v>
      </c>
      <c r="M156" s="253">
        <f t="shared" si="39"/>
        <v>-114677.53000000003</v>
      </c>
      <c r="N156" s="254">
        <f t="shared" si="40"/>
        <v>-0.28669382500000007</v>
      </c>
      <c r="O156" s="253" t="b">
        <f t="shared" si="53"/>
        <v>1</v>
      </c>
      <c r="P156" s="254">
        <f>COUNTIF(O$2:O156, TRUE)/(COUNTIF(O$2:O156,FALSE) + COUNTIF(O$2:O156, TRUE))</f>
        <v>0.46451612903225808</v>
      </c>
      <c r="Q156" s="252">
        <v>235497.1</v>
      </c>
      <c r="R156" s="252">
        <f t="shared" si="52"/>
        <v>49825.369999999966</v>
      </c>
      <c r="S156" s="252"/>
      <c r="T156" s="252"/>
      <c r="U156" s="254">
        <f>STDEV(D$2:D156)*SQRT(252)</f>
        <v>0.19571630227727144</v>
      </c>
      <c r="V156" s="254">
        <f>STDEV(L$2:L156)*SQRT(252)</f>
        <v>0.4074274282139313</v>
      </c>
      <c r="W156" s="253">
        <f t="shared" si="43"/>
        <v>-0.70366844533957928</v>
      </c>
    </row>
    <row r="157" spans="2:23" ht="20.100000000000001" customHeight="1" x14ac:dyDescent="0.25">
      <c r="B157" s="246">
        <v>42459</v>
      </c>
      <c r="C157" s="247">
        <v>2063.9499999999998</v>
      </c>
      <c r="D157" s="172">
        <f t="shared" si="46"/>
        <v>4.3503437939472799E-3</v>
      </c>
      <c r="E157" s="248">
        <f t="shared" si="48"/>
        <v>-1.8307300089420026E-2</v>
      </c>
      <c r="F157" s="249">
        <v>4869.29</v>
      </c>
      <c r="G157" s="172">
        <f t="shared" si="44"/>
        <v>4.6774865782751845E-3</v>
      </c>
      <c r="H157" s="250">
        <f t="shared" si="49"/>
        <v>-4.3680892432782739E-2</v>
      </c>
      <c r="I157" s="251">
        <v>288126.49</v>
      </c>
      <c r="J157" s="252">
        <v>400000</v>
      </c>
      <c r="K157" s="252">
        <f t="shared" si="51"/>
        <v>2804.0200000000186</v>
      </c>
      <c r="L157" s="172">
        <f t="shared" si="45"/>
        <v>9.8275470557927635E-3</v>
      </c>
      <c r="M157" s="253">
        <f t="shared" si="39"/>
        <v>-111873.51000000001</v>
      </c>
      <c r="N157" s="254">
        <f t="shared" si="40"/>
        <v>-0.27968377500000002</v>
      </c>
      <c r="O157" s="253" t="b">
        <f t="shared" si="53"/>
        <v>1</v>
      </c>
      <c r="P157" s="254">
        <f>COUNTIF(O$2:O157, TRUE)/(COUNTIF(O$2:O157,FALSE) + COUNTIF(O$2:O157, TRUE))</f>
        <v>0.46794871794871795</v>
      </c>
      <c r="Q157" s="252">
        <v>216771.49</v>
      </c>
      <c r="R157" s="252">
        <f t="shared" si="52"/>
        <v>71355</v>
      </c>
      <c r="S157" s="252"/>
      <c r="T157" s="252"/>
      <c r="U157" s="254">
        <f>STDEV(D$2:D157)*SQRT(252)</f>
        <v>0.19516132328288105</v>
      </c>
      <c r="V157" s="254">
        <f>STDEV(L$2:L157)*SQRT(252)</f>
        <v>0.40634858436204313</v>
      </c>
      <c r="W157" s="253">
        <f t="shared" si="43"/>
        <v>-0.68828534357784554</v>
      </c>
    </row>
    <row r="158" spans="2:23" ht="20.100000000000001" customHeight="1" x14ac:dyDescent="0.25">
      <c r="B158" s="246">
        <v>42460</v>
      </c>
      <c r="C158" s="247">
        <v>2059.7399999999998</v>
      </c>
      <c r="D158" s="172">
        <f t="shared" si="46"/>
        <v>-2.0397780953996156E-3</v>
      </c>
      <c r="E158" s="248">
        <f t="shared" si="48"/>
        <v>-2.0309735355111335E-2</v>
      </c>
      <c r="F158" s="249">
        <v>4869.84</v>
      </c>
      <c r="G158" s="172">
        <f t="shared" si="44"/>
        <v>1.129528124223823E-4</v>
      </c>
      <c r="H158" s="250">
        <f t="shared" si="49"/>
        <v>-4.3572873500009754E-2</v>
      </c>
      <c r="I158" s="482">
        <v>295667.37</v>
      </c>
      <c r="J158" s="252">
        <v>400000</v>
      </c>
      <c r="K158" s="252">
        <f t="shared" si="51"/>
        <v>7540.8800000000047</v>
      </c>
      <c r="L158" s="172">
        <f t="shared" si="45"/>
        <v>2.6172116281290222E-2</v>
      </c>
      <c r="M158" s="253">
        <f t="shared" ref="M158:M191" si="54">I158-J158</f>
        <v>-104332.63</v>
      </c>
      <c r="N158" s="254">
        <f t="shared" ref="N158:N189" si="55">M158/J158</f>
        <v>-0.26083157500000004</v>
      </c>
      <c r="O158" s="253" t="b">
        <f t="shared" si="53"/>
        <v>1</v>
      </c>
      <c r="P158" s="254">
        <f>COUNTIF(O$2:O158, TRUE)/(COUNTIF(O$2:O158,FALSE) + COUNTIF(O$2:O158, TRUE))</f>
        <v>0.4713375796178344</v>
      </c>
      <c r="Q158" s="252">
        <v>202826.77</v>
      </c>
      <c r="R158" s="252">
        <f t="shared" si="52"/>
        <v>92840.6</v>
      </c>
      <c r="S158" s="252"/>
      <c r="T158" s="252"/>
      <c r="U158" s="254">
        <f>STDEV(D$2:D158)*SQRT(252)</f>
        <v>0.19454728889036682</v>
      </c>
      <c r="V158" s="254">
        <f>STDEV(L$2:L158)*SQRT(252)</f>
        <v>0.40652602523849884</v>
      </c>
      <c r="W158" s="253">
        <f t="shared" si="43"/>
        <v>-0.64161101333420545</v>
      </c>
    </row>
    <row r="159" spans="2:23" ht="20.100000000000001" customHeight="1" x14ac:dyDescent="0.25">
      <c r="B159" s="246">
        <v>42461</v>
      </c>
      <c r="C159" s="247">
        <v>2072.7800000000002</v>
      </c>
      <c r="D159" s="172">
        <f t="shared" si="46"/>
        <v>6.3308961325217843E-3</v>
      </c>
      <c r="E159" s="248">
        <f t="shared" si="48"/>
        <v>-1.4107418047601765E-2</v>
      </c>
      <c r="F159" s="249">
        <v>4914.54</v>
      </c>
      <c r="G159" s="172">
        <f t="shared" si="44"/>
        <v>9.1789463308855762E-3</v>
      </c>
      <c r="H159" s="250">
        <f t="shared" si="49"/>
        <v>-3.4793880236463237E-2</v>
      </c>
      <c r="I159" s="251">
        <v>293885.49</v>
      </c>
      <c r="J159" s="252">
        <v>400000</v>
      </c>
      <c r="K159" s="252">
        <f t="shared" si="51"/>
        <v>-1781.8800000000047</v>
      </c>
      <c r="L159" s="172">
        <f t="shared" si="45"/>
        <v>-6.026637298529103E-3</v>
      </c>
      <c r="M159" s="253">
        <f t="shared" si="54"/>
        <v>-106114.51000000001</v>
      </c>
      <c r="N159" s="254">
        <f t="shared" si="55"/>
        <v>-0.26528627500000002</v>
      </c>
      <c r="O159" s="253" t="b">
        <f t="shared" si="53"/>
        <v>0</v>
      </c>
      <c r="P159" s="254">
        <f>COUNTIF(O$2:O159, TRUE)/(COUNTIF(O$2:O159,FALSE) + COUNTIF(O$2:O159, TRUE))</f>
        <v>0.46835443037974683</v>
      </c>
      <c r="Q159" s="252">
        <v>199513.83</v>
      </c>
      <c r="R159" s="252">
        <f t="shared" si="52"/>
        <v>94371.66</v>
      </c>
      <c r="S159" s="252"/>
      <c r="T159" s="252"/>
      <c r="U159" s="254">
        <f>STDEV(D$2:D159)*SQRT(252)</f>
        <v>0.19409152607046717</v>
      </c>
      <c r="V159" s="254">
        <f>STDEV(L$2:L159)*SQRT(252)</f>
        <v>0.40527068703901437</v>
      </c>
      <c r="W159" s="253">
        <f t="shared" si="43"/>
        <v>-0.65459033550694867</v>
      </c>
    </row>
    <row r="160" spans="2:23" ht="20.100000000000001" customHeight="1" x14ac:dyDescent="0.25">
      <c r="B160" s="173">
        <v>42464</v>
      </c>
      <c r="C160" s="217">
        <v>2066.13</v>
      </c>
      <c r="D160" s="172">
        <f t="shared" si="46"/>
        <v>-3.2082517199124318E-3</v>
      </c>
      <c r="E160" s="211">
        <f t="shared" si="48"/>
        <v>-1.7270409619299456E-2</v>
      </c>
      <c r="F160" s="221">
        <v>4891.79</v>
      </c>
      <c r="G160" s="172">
        <f t="shared" si="44"/>
        <v>-4.6291209350213854E-3</v>
      </c>
      <c r="H160" s="205">
        <f t="shared" si="49"/>
        <v>-3.9261936092071383E-2</v>
      </c>
      <c r="I160" s="223">
        <v>291382.05</v>
      </c>
      <c r="J160" s="174">
        <v>400000</v>
      </c>
      <c r="K160" s="174">
        <f t="shared" si="51"/>
        <v>-2503.4400000000023</v>
      </c>
      <c r="L160" s="172">
        <f t="shared" si="45"/>
        <v>-8.5184198784363334E-3</v>
      </c>
      <c r="M160" s="184">
        <f t="shared" si="54"/>
        <v>-108617.95000000001</v>
      </c>
      <c r="N160" s="186">
        <f t="shared" si="55"/>
        <v>-0.27154487500000002</v>
      </c>
      <c r="O160" s="184" t="b">
        <f t="shared" si="53"/>
        <v>0</v>
      </c>
      <c r="P160" s="186">
        <f>COUNTIF(O$2:O160, TRUE)/(COUNTIF(O$2:O160,FALSE) + COUNTIF(O$2:O160, TRUE))</f>
        <v>0.46540880503144655</v>
      </c>
      <c r="Q160" s="174">
        <v>199541.39</v>
      </c>
      <c r="R160" s="174">
        <f t="shared" si="52"/>
        <v>91840.659999999974</v>
      </c>
      <c r="S160" s="174"/>
      <c r="T160" s="174"/>
      <c r="U160" s="186">
        <f>STDEV(D$2:D160)*SQRT(252)</f>
        <v>0.19351440870684267</v>
      </c>
      <c r="V160" s="186">
        <f>STDEV(L$2:L160)*SQRT(252)</f>
        <v>0.40408811296561892</v>
      </c>
      <c r="W160" s="184">
        <f t="shared" si="43"/>
        <v>-0.67199421682345772</v>
      </c>
    </row>
    <row r="161" spans="2:23" ht="20.100000000000001" customHeight="1" x14ac:dyDescent="0.25">
      <c r="B161" s="173">
        <v>42465</v>
      </c>
      <c r="C161" s="217">
        <v>2045.17</v>
      </c>
      <c r="D161" s="172">
        <f t="shared" si="46"/>
        <v>-1.0144569799577004E-2</v>
      </c>
      <c r="E161" s="211">
        <f t="shared" si="48"/>
        <v>-2.7239778543026189E-2</v>
      </c>
      <c r="F161" s="221">
        <v>4843.93</v>
      </c>
      <c r="G161" s="172">
        <f t="shared" si="44"/>
        <v>-9.7837396944676028E-3</v>
      </c>
      <c r="H161" s="205">
        <f t="shared" si="49"/>
        <v>-4.8661547223913339E-2</v>
      </c>
      <c r="I161" s="223">
        <v>289909.68</v>
      </c>
      <c r="J161" s="174">
        <v>400000</v>
      </c>
      <c r="K161" s="174">
        <f t="shared" si="51"/>
        <v>-1472.3699999999953</v>
      </c>
      <c r="L161" s="172">
        <f t="shared" si="45"/>
        <v>-5.0530566313195871E-3</v>
      </c>
      <c r="M161" s="184">
        <f t="shared" si="54"/>
        <v>-110090.32</v>
      </c>
      <c r="N161" s="186">
        <f t="shared" si="55"/>
        <v>-0.27522580000000002</v>
      </c>
      <c r="O161" s="184" t="b">
        <f t="shared" si="53"/>
        <v>1</v>
      </c>
      <c r="P161" s="186">
        <f>COUNTIF(O$2:O161, TRUE)/(COUNTIF(O$2:O161,FALSE) + COUNTIF(O$2:O161, TRUE))</f>
        <v>0.46875</v>
      </c>
      <c r="Q161" s="174">
        <v>198034.04</v>
      </c>
      <c r="R161" s="174">
        <f t="shared" si="52"/>
        <v>91875.639999999985</v>
      </c>
      <c r="S161" s="174"/>
      <c r="T161" s="174"/>
      <c r="U161" s="186">
        <f>STDEV(D$2:D161)*SQRT(252)</f>
        <v>0.19332034289533651</v>
      </c>
      <c r="V161" s="186">
        <f>STDEV(L$2:L161)*SQRT(252)</f>
        <v>0.40283814257892614</v>
      </c>
      <c r="W161" s="184">
        <f t="shared" si="43"/>
        <v>-0.68321683303878389</v>
      </c>
    </row>
    <row r="162" spans="2:23" ht="20.100000000000001" customHeight="1" x14ac:dyDescent="0.25">
      <c r="B162" s="173">
        <v>42466</v>
      </c>
      <c r="C162" s="217">
        <v>2066.66</v>
      </c>
      <c r="D162" s="172">
        <f t="shared" si="46"/>
        <v>1.0507683957812691E-2</v>
      </c>
      <c r="E162" s="211">
        <f t="shared" si="48"/>
        <v>-1.7018321569224424E-2</v>
      </c>
      <c r="F162" s="221">
        <v>4920.71</v>
      </c>
      <c r="G162" s="172">
        <f t="shared" si="44"/>
        <v>1.5850765803799755E-2</v>
      </c>
      <c r="H162" s="205">
        <f t="shared" si="49"/>
        <v>-3.3582104208810373E-2</v>
      </c>
      <c r="I162" s="223">
        <v>294800.27</v>
      </c>
      <c r="J162" s="174">
        <v>400000</v>
      </c>
      <c r="K162" s="174">
        <f t="shared" si="51"/>
        <v>4890.5900000000256</v>
      </c>
      <c r="L162" s="172">
        <f t="shared" si="45"/>
        <v>1.6869357380547022E-2</v>
      </c>
      <c r="M162" s="184">
        <f t="shared" si="54"/>
        <v>-105199.72999999998</v>
      </c>
      <c r="N162" s="186">
        <f t="shared" si="55"/>
        <v>-0.26299932499999995</v>
      </c>
      <c r="O162" s="184" t="b">
        <f t="shared" si="53"/>
        <v>1</v>
      </c>
      <c r="P162" s="186">
        <f>COUNTIF(O$2:O162, TRUE)/(COUNTIF(O$2:O162,FALSE) + COUNTIF(O$2:O162, TRUE))</f>
        <v>0.47204968944099379</v>
      </c>
      <c r="Q162" s="174">
        <v>206520.01</v>
      </c>
      <c r="R162" s="174">
        <f t="shared" si="52"/>
        <v>88280.260000000009</v>
      </c>
      <c r="S162" s="174"/>
      <c r="T162" s="174"/>
      <c r="U162" s="186">
        <f>STDEV(D$2:D162)*SQRT(252)</f>
        <v>0.19317071885367709</v>
      </c>
      <c r="V162" s="186">
        <f>STDEV(L$2:L162)*SQRT(252)</f>
        <v>0.40220348115797722</v>
      </c>
      <c r="W162" s="184">
        <f t="shared" si="43"/>
        <v>-0.65389619265055354</v>
      </c>
    </row>
    <row r="163" spans="2:23" ht="20.100000000000001" customHeight="1" x14ac:dyDescent="0.25">
      <c r="B163" s="173">
        <v>42467</v>
      </c>
      <c r="C163" s="217">
        <v>2041.91</v>
      </c>
      <c r="D163" s="172">
        <f t="shared" si="46"/>
        <v>-1.1975845083371128E-2</v>
      </c>
      <c r="E163" s="211">
        <f t="shared" si="48"/>
        <v>-2.8790357869903527E-2</v>
      </c>
      <c r="F163" s="221">
        <v>4848.3599999999997</v>
      </c>
      <c r="G163" s="172">
        <f t="shared" si="44"/>
        <v>-1.4703162754968361E-2</v>
      </c>
      <c r="H163" s="205">
        <f t="shared" si="49"/>
        <v>-4.7791503819942287E-2</v>
      </c>
      <c r="I163" s="223">
        <v>296412.12</v>
      </c>
      <c r="J163" s="174">
        <v>400000</v>
      </c>
      <c r="K163" s="174">
        <f t="shared" si="51"/>
        <v>1611.8499999999767</v>
      </c>
      <c r="L163" s="172">
        <f t="shared" si="45"/>
        <v>5.4676001483986991E-3</v>
      </c>
      <c r="M163" s="184">
        <f t="shared" si="54"/>
        <v>-103587.88</v>
      </c>
      <c r="N163" s="186">
        <f t="shared" si="55"/>
        <v>-0.25896970000000002</v>
      </c>
      <c r="O163" s="184" t="b">
        <f t="shared" si="53"/>
        <v>1</v>
      </c>
      <c r="P163" s="186">
        <f>COUNTIF(O$2:O163, TRUE)/(COUNTIF(O$2:O163,FALSE) + COUNTIF(O$2:O163, TRUE))</f>
        <v>0.47530864197530864</v>
      </c>
      <c r="Q163" s="174">
        <v>210406.8</v>
      </c>
      <c r="R163" s="174">
        <f t="shared" si="52"/>
        <v>86005.32</v>
      </c>
      <c r="S163" s="174"/>
      <c r="T163" s="174"/>
      <c r="U163" s="186">
        <f>STDEV(D$2:D163)*SQRT(252)</f>
        <v>0.19314485515344837</v>
      </c>
      <c r="V163" s="186">
        <f>STDEV(L$2:L163)*SQRT(252)</f>
        <v>0.40102645372059886</v>
      </c>
      <c r="W163" s="184">
        <f t="shared" si="43"/>
        <v>-0.64576712483019405</v>
      </c>
    </row>
    <row r="164" spans="2:23" ht="20.100000000000001" customHeight="1" x14ac:dyDescent="0.25">
      <c r="B164" s="173">
        <v>42468</v>
      </c>
      <c r="C164" s="217">
        <v>2047.6</v>
      </c>
      <c r="D164" s="172">
        <f t="shared" si="46"/>
        <v>2.7866066574921654E-3</v>
      </c>
      <c r="E164" s="211">
        <f t="shared" si="48"/>
        <v>-2.6083978615323217E-2</v>
      </c>
      <c r="F164" s="221">
        <v>4850.6899999999996</v>
      </c>
      <c r="G164" s="172">
        <f t="shared" si="44"/>
        <v>4.8057487480301122E-4</v>
      </c>
      <c r="H164" s="205">
        <f t="shared" si="49"/>
        <v>-4.7333896341104194E-2</v>
      </c>
      <c r="I164" s="223">
        <v>303561.17</v>
      </c>
      <c r="J164" s="174">
        <v>400000</v>
      </c>
      <c r="K164" s="174">
        <f t="shared" si="51"/>
        <v>7149.0499999999884</v>
      </c>
      <c r="L164" s="172">
        <f t="shared" si="45"/>
        <v>2.4118615662544394E-2</v>
      </c>
      <c r="M164" s="184">
        <f t="shared" si="54"/>
        <v>-96438.830000000016</v>
      </c>
      <c r="N164" s="186">
        <f t="shared" si="55"/>
        <v>-0.24109707500000005</v>
      </c>
      <c r="O164" s="184" t="b">
        <f t="shared" si="53"/>
        <v>1</v>
      </c>
      <c r="P164" s="186">
        <f>COUNTIF(O$2:O164, TRUE)/(COUNTIF(O$2:O164,FALSE) + COUNTIF(O$2:O164, TRUE))</f>
        <v>0.4785276073619632</v>
      </c>
      <c r="Q164" s="174">
        <v>199980.39</v>
      </c>
      <c r="R164" s="174">
        <f t="shared" si="52"/>
        <v>103580.77999999997</v>
      </c>
      <c r="S164" s="174"/>
      <c r="T164" s="174"/>
      <c r="U164" s="186">
        <f>STDEV(D$2:D164)*SQRT(252)</f>
        <v>0.19257792977422014</v>
      </c>
      <c r="V164" s="186">
        <f>STDEV(L$2:L164)*SQRT(252)</f>
        <v>0.40100153728117882</v>
      </c>
      <c r="W164" s="184">
        <f t="shared" si="43"/>
        <v>-0.6012372836140647</v>
      </c>
    </row>
    <row r="165" spans="2:23" ht="20.100000000000001" customHeight="1" x14ac:dyDescent="0.25">
      <c r="B165" s="246">
        <v>42471</v>
      </c>
      <c r="C165" s="247">
        <v>2041.99</v>
      </c>
      <c r="D165" s="172">
        <f t="shared" si="46"/>
        <v>-2.7397929283062613E-3</v>
      </c>
      <c r="E165" s="248">
        <f t="shared" si="48"/>
        <v>-2.8752306843477123E-2</v>
      </c>
      <c r="F165" s="249">
        <v>4833.3900000000003</v>
      </c>
      <c r="G165" s="172">
        <f t="shared" si="44"/>
        <v>-3.5665029098951436E-3</v>
      </c>
      <c r="H165" s="250">
        <f t="shared" si="49"/>
        <v>-5.0731582771962117E-2</v>
      </c>
      <c r="I165" s="251">
        <v>301374.21999999997</v>
      </c>
      <c r="J165" s="252">
        <v>400000</v>
      </c>
      <c r="K165" s="252">
        <f t="shared" si="51"/>
        <v>-2186.9500000000116</v>
      </c>
      <c r="L165" s="172">
        <f t="shared" si="45"/>
        <v>-7.2043140431960117E-3</v>
      </c>
      <c r="M165" s="253">
        <f t="shared" si="54"/>
        <v>-98625.780000000028</v>
      </c>
      <c r="N165" s="254">
        <f t="shared" si="55"/>
        <v>-0.24656445000000007</v>
      </c>
      <c r="O165" s="253" t="b">
        <f t="shared" si="53"/>
        <v>0</v>
      </c>
      <c r="P165" s="254">
        <f>COUNTIF(O$2:O165, TRUE)/(COUNTIF(O$2:O165,FALSE) + COUNTIF(O$2:O165, TRUE))</f>
        <v>0.47560975609756095</v>
      </c>
      <c r="Q165" s="252">
        <v>209823.35</v>
      </c>
      <c r="R165" s="252">
        <f t="shared" si="52"/>
        <v>91550.869999999966</v>
      </c>
      <c r="S165" s="252"/>
      <c r="T165" s="252"/>
      <c r="U165" s="254">
        <f>STDEV(D$2:D165)*SQRT(252)</f>
        <v>0.19201090434466217</v>
      </c>
      <c r="V165" s="254">
        <f>STDEV(L$2:L165)*SQRT(252)</f>
        <v>0.39984095752163645</v>
      </c>
      <c r="W165" s="253">
        <f t="shared" si="43"/>
        <v>-0.61665631137014731</v>
      </c>
    </row>
    <row r="166" spans="2:23" ht="20.100000000000001" customHeight="1" x14ac:dyDescent="0.25">
      <c r="B166" s="246">
        <v>42472</v>
      </c>
      <c r="C166" s="247">
        <v>2061.7199999999998</v>
      </c>
      <c r="D166" s="172">
        <f>(C166-C165)/C165</f>
        <v>9.6621433013872691E-3</v>
      </c>
      <c r="E166" s="248">
        <f t="shared" si="48"/>
        <v>-1.9367972451056988E-2</v>
      </c>
      <c r="F166" s="249">
        <v>4872.09</v>
      </c>
      <c r="G166" s="172">
        <f t="shared" ref="G166:G171" si="56">(F166-F165)/F165</f>
        <v>8.0068026788651069E-3</v>
      </c>
      <c r="H166" s="250">
        <f t="shared" si="49"/>
        <v>-4.313097786593862E-2</v>
      </c>
      <c r="I166" s="251">
        <v>314750.48</v>
      </c>
      <c r="J166" s="252">
        <v>400000</v>
      </c>
      <c r="K166" s="252">
        <f t="shared" si="51"/>
        <v>13376.260000000009</v>
      </c>
      <c r="L166" s="172">
        <f t="shared" si="45"/>
        <v>4.438422105248422E-2</v>
      </c>
      <c r="M166" s="253">
        <f t="shared" si="54"/>
        <v>-85249.520000000019</v>
      </c>
      <c r="N166" s="254">
        <f t="shared" si="55"/>
        <v>-0.21312380000000006</v>
      </c>
      <c r="O166" s="253" t="b">
        <f t="shared" si="53"/>
        <v>1</v>
      </c>
      <c r="P166" s="254">
        <f>COUNTIF(O$2:O166, TRUE)/(COUNTIF(O$2:O166,FALSE) + COUNTIF(O$2:O166, TRUE))</f>
        <v>0.47878787878787876</v>
      </c>
      <c r="Q166" s="252">
        <v>212987.96</v>
      </c>
      <c r="R166" s="252">
        <f t="shared" si="52"/>
        <v>101762.51999999999</v>
      </c>
      <c r="S166" s="252"/>
      <c r="T166" s="252"/>
      <c r="U166" s="254">
        <f>STDEV(D$2:D166)*SQRT(252)</f>
        <v>0.19180360559269574</v>
      </c>
      <c r="V166" s="254">
        <f>STDEV(L$2:L166)*SQRT(252)</f>
        <v>0.40253727965834457</v>
      </c>
      <c r="W166" s="253">
        <f t="shared" si="43"/>
        <v>-0.52945108632147042</v>
      </c>
    </row>
    <row r="167" spans="2:23" ht="20.100000000000001" customHeight="1" x14ac:dyDescent="0.25">
      <c r="B167" s="246">
        <v>42473</v>
      </c>
      <c r="C167" s="247">
        <v>2082.42</v>
      </c>
      <c r="D167" s="172">
        <f>(C167-C166)/C166</f>
        <v>1.0040160642570415E-2</v>
      </c>
      <c r="E167" s="248">
        <f t="shared" si="48"/>
        <v>-9.522269363216063E-3</v>
      </c>
      <c r="F167" s="249">
        <v>4947.42</v>
      </c>
      <c r="G167" s="172">
        <f t="shared" si="56"/>
        <v>1.5461537040571896E-2</v>
      </c>
      <c r="H167" s="250">
        <f t="shared" si="49"/>
        <v>-2.8336312037237021E-2</v>
      </c>
      <c r="I167" s="251">
        <v>317683.34999999998</v>
      </c>
      <c r="J167" s="252">
        <v>400000</v>
      </c>
      <c r="K167" s="252">
        <f t="shared" si="51"/>
        <v>2932.8699999999953</v>
      </c>
      <c r="L167" s="172">
        <f t="shared" si="45"/>
        <v>9.3180795149224102E-3</v>
      </c>
      <c r="M167" s="253">
        <f t="shared" si="54"/>
        <v>-82316.650000000023</v>
      </c>
      <c r="N167" s="254">
        <f t="shared" si="55"/>
        <v>-0.20579162500000006</v>
      </c>
      <c r="O167" s="253" t="b">
        <f t="shared" si="53"/>
        <v>0</v>
      </c>
      <c r="P167" s="254">
        <f>COUNTIF(O$2:O167, TRUE)/(COUNTIF(O$2:O167,FALSE) + COUNTIF(O$2:O167, TRUE))</f>
        <v>0.4759036144578313</v>
      </c>
      <c r="Q167" s="252">
        <v>219889.91</v>
      </c>
      <c r="R167" s="252">
        <f t="shared" si="52"/>
        <v>97793.439999999973</v>
      </c>
      <c r="S167" s="252"/>
      <c r="T167" s="252"/>
      <c r="U167" s="254">
        <f>STDEV(D$2:D167)*SQRT(252)</f>
        <v>0.19162382789500107</v>
      </c>
      <c r="V167" s="254">
        <f>STDEV(L$2:L167)*SQRT(252)</f>
        <v>0.40149438106382634</v>
      </c>
      <c r="W167" s="253">
        <f t="shared" si="43"/>
        <v>-0.51256414711140119</v>
      </c>
    </row>
    <row r="168" spans="2:23" ht="20.100000000000001" customHeight="1" x14ac:dyDescent="0.25">
      <c r="B168" s="246">
        <v>42474</v>
      </c>
      <c r="C168" s="247">
        <v>2082.7800000000002</v>
      </c>
      <c r="D168" s="172">
        <f>(C168-C167)/C167</f>
        <v>1.728757887458473E-4</v>
      </c>
      <c r="E168" s="248">
        <f t="shared" si="48"/>
        <v>-9.3510397442970322E-3</v>
      </c>
      <c r="F168" s="249">
        <v>4945.88</v>
      </c>
      <c r="G168" s="172">
        <f t="shared" si="56"/>
        <v>-3.1127335055442304E-4</v>
      </c>
      <c r="H168" s="250">
        <f t="shared" si="49"/>
        <v>-2.8638765049001261E-2</v>
      </c>
      <c r="I168" s="251">
        <v>317242.28999999998</v>
      </c>
      <c r="J168" s="252">
        <v>400000</v>
      </c>
      <c r="K168" s="252">
        <f t="shared" si="51"/>
        <v>-441.05999999999767</v>
      </c>
      <c r="L168" s="172">
        <f t="shared" si="45"/>
        <v>-1.3883636016807229E-3</v>
      </c>
      <c r="M168" s="253">
        <f t="shared" si="54"/>
        <v>-82757.710000000021</v>
      </c>
      <c r="N168" s="254">
        <f t="shared" si="55"/>
        <v>-0.20689427500000004</v>
      </c>
      <c r="O168" s="253" t="b">
        <f t="shared" si="53"/>
        <v>0</v>
      </c>
      <c r="P168" s="254">
        <f>COUNTIF(O$2:O168, TRUE)/(COUNTIF(O$2:O168,FALSE) + COUNTIF(O$2:O168, TRUE))</f>
        <v>0.47305389221556887</v>
      </c>
      <c r="Q168" s="252">
        <v>220158.43</v>
      </c>
      <c r="R168" s="252">
        <f t="shared" si="52"/>
        <v>97083.859999999986</v>
      </c>
      <c r="S168" s="252"/>
      <c r="T168" s="252"/>
      <c r="U168" s="254">
        <f>STDEV(D$2:D168)*SQRT(252)</f>
        <v>0.19104236676485162</v>
      </c>
      <c r="V168" s="254">
        <f>STDEV(L$2:L168)*SQRT(252)</f>
        <v>0.40027732610236538</v>
      </c>
      <c r="W168" s="253">
        <f t="shared" si="43"/>
        <v>-0.51687732856267177</v>
      </c>
    </row>
    <row r="169" spans="2:23" ht="20.100000000000001" customHeight="1" x14ac:dyDescent="0.25">
      <c r="B169" s="246">
        <v>42475</v>
      </c>
      <c r="C169" s="247">
        <v>2080.73</v>
      </c>
      <c r="D169" s="172">
        <f>(C169-C168)/C168</f>
        <v>-9.8426141983319485E-4</v>
      </c>
      <c r="E169" s="248">
        <f t="shared" si="48"/>
        <v>-1.0326097296474589E-2</v>
      </c>
      <c r="F169" s="249">
        <v>4938.21</v>
      </c>
      <c r="G169" s="172">
        <f t="shared" si="56"/>
        <v>-1.5507857044651453E-3</v>
      </c>
      <c r="H169" s="250">
        <f t="shared" si="49"/>
        <v>-3.0145138166034879E-2</v>
      </c>
      <c r="I169" s="251">
        <v>317721.64</v>
      </c>
      <c r="J169" s="252">
        <v>400000</v>
      </c>
      <c r="K169" s="252">
        <f t="shared" si="51"/>
        <v>479.35000000003492</v>
      </c>
      <c r="L169" s="172">
        <f t="shared" si="45"/>
        <v>1.5109902276901196E-3</v>
      </c>
      <c r="M169" s="253">
        <f t="shared" si="54"/>
        <v>-82278.359999999986</v>
      </c>
      <c r="N169" s="254">
        <f t="shared" si="55"/>
        <v>-0.20569589999999996</v>
      </c>
      <c r="O169" s="253" t="b">
        <f t="shared" si="53"/>
        <v>1</v>
      </c>
      <c r="P169" s="254">
        <f>COUNTIF(O$2:O169, TRUE)/(COUNTIF(O$2:O169,FALSE) + COUNTIF(O$2:O169, TRUE))</f>
        <v>0.47619047619047616</v>
      </c>
      <c r="Q169" s="252">
        <v>227146.03</v>
      </c>
      <c r="R169" s="252">
        <f t="shared" si="52"/>
        <v>90575.610000000015</v>
      </c>
      <c r="S169" s="252"/>
      <c r="T169" s="252"/>
      <c r="U169" s="254">
        <f>STDEV(D$2:D169)*SQRT(252)</f>
        <v>0.1904700278981748</v>
      </c>
      <c r="V169" s="254">
        <f>STDEV(L$2:L169)*SQRT(252)</f>
        <v>0.39907765714792898</v>
      </c>
      <c r="W169" s="253">
        <f t="shared" si="43"/>
        <v>-0.51542825391438329</v>
      </c>
    </row>
    <row r="170" spans="2:23" ht="20.100000000000001" customHeight="1" x14ac:dyDescent="0.25">
      <c r="B170" s="173">
        <v>42478</v>
      </c>
      <c r="C170" s="217">
        <v>2094.39</v>
      </c>
      <c r="D170" s="172">
        <f>(C170-C169)/C169</f>
        <v>6.5650036285341464E-3</v>
      </c>
      <c r="E170" s="211">
        <f t="shared" si="48"/>
        <v>-3.8288845341603954E-3</v>
      </c>
      <c r="F170" s="221">
        <v>4960.01</v>
      </c>
      <c r="G170" s="172">
        <f t="shared" si="56"/>
        <v>4.414555071574555E-3</v>
      </c>
      <c r="H170" s="205">
        <f t="shared" si="49"/>
        <v>-2.5863660467034508E-2</v>
      </c>
      <c r="I170" s="223">
        <v>322899.31</v>
      </c>
      <c r="J170" s="174">
        <v>400000</v>
      </c>
      <c r="K170" s="174">
        <f t="shared" si="51"/>
        <v>5177.6699999999837</v>
      </c>
      <c r="L170" s="172">
        <f t="shared" si="45"/>
        <v>1.6296245984377972E-2</v>
      </c>
      <c r="M170" s="184">
        <f t="shared" si="54"/>
        <v>-77100.69</v>
      </c>
      <c r="N170" s="186">
        <f t="shared" si="55"/>
        <v>-0.19275172500000001</v>
      </c>
      <c r="O170" s="184" t="b">
        <f t="shared" si="53"/>
        <v>1</v>
      </c>
      <c r="P170" s="186">
        <f>COUNTIF(O$2:O170, TRUE)/(COUNTIF(O$2:O170,FALSE) + COUNTIF(O$2:O170, TRUE))</f>
        <v>0.47928994082840237</v>
      </c>
      <c r="Q170" s="174">
        <v>221962.67</v>
      </c>
      <c r="R170" s="174">
        <f t="shared" si="52"/>
        <v>100936.63999999998</v>
      </c>
      <c r="S170" s="174"/>
      <c r="T170" s="174"/>
      <c r="U170" s="186">
        <f>STDEV(D$2:D170)*SQRT(252)</f>
        <v>0.19006855377528359</v>
      </c>
      <c r="V170" s="186">
        <f>STDEV(L$2:L170)*SQRT(252)</f>
        <v>0.39841300907192778</v>
      </c>
      <c r="W170" s="184">
        <f t="shared" si="43"/>
        <v>-0.48379877316004366</v>
      </c>
    </row>
    <row r="171" spans="2:23" ht="20.100000000000001" customHeight="1" x14ac:dyDescent="0.25">
      <c r="B171" s="173">
        <v>42479</v>
      </c>
      <c r="C171" s="217">
        <v>2100.8000000000002</v>
      </c>
      <c r="D171" s="172">
        <f t="shared" ref="D171:D190" si="57">(C171-C170)/C170</f>
        <v>3.0605570118269806E-3</v>
      </c>
      <c r="E171" s="211">
        <f t="shared" si="48"/>
        <v>-7.8004604174191543E-4</v>
      </c>
      <c r="F171" s="221">
        <v>4940.33</v>
      </c>
      <c r="G171" s="172">
        <f t="shared" si="56"/>
        <v>-3.9677339360203491E-3</v>
      </c>
      <c r="H171" s="205">
        <f t="shared" si="49"/>
        <v>-2.9728774279710095E-2</v>
      </c>
      <c r="I171" s="223">
        <v>328320.36</v>
      </c>
      <c r="J171" s="174">
        <v>400000</v>
      </c>
      <c r="K171" s="174">
        <f t="shared" si="51"/>
        <v>5421.0499999999884</v>
      </c>
      <c r="L171" s="172">
        <f t="shared" si="45"/>
        <v>1.6788670127539103E-2</v>
      </c>
      <c r="M171" s="184">
        <f t="shared" si="54"/>
        <v>-71679.640000000014</v>
      </c>
      <c r="N171" s="186">
        <f t="shared" si="55"/>
        <v>-0.17919910000000003</v>
      </c>
      <c r="O171" s="184" t="b">
        <f t="shared" si="53"/>
        <v>1</v>
      </c>
      <c r="P171" s="186">
        <f>COUNTIF(O$2:O171, TRUE)/(COUNTIF(O$2:O171,FALSE) + COUNTIF(O$2:O171, TRUE))</f>
        <v>0.4823529411764706</v>
      </c>
      <c r="Q171" s="174">
        <v>219508.9</v>
      </c>
      <c r="R171" s="174">
        <f t="shared" si="52"/>
        <v>108811.45999999999</v>
      </c>
      <c r="S171" s="174"/>
      <c r="T171" s="174"/>
      <c r="U171" s="186">
        <f>STDEV(D$2:D171)*SQRT(252)</f>
        <v>0.18953771970498626</v>
      </c>
      <c r="V171" s="186">
        <f>STDEV(L$2:L171)*SQRT(252)</f>
        <v>0.39778020996769808</v>
      </c>
      <c r="W171" s="184">
        <f t="shared" si="43"/>
        <v>-0.4504977761828623</v>
      </c>
    </row>
    <row r="172" spans="2:23" ht="20.100000000000001" customHeight="1" x14ac:dyDescent="0.25">
      <c r="B172" s="173">
        <v>42480</v>
      </c>
      <c r="C172" s="217">
        <v>2102.4</v>
      </c>
      <c r="D172" s="172">
        <f t="shared" si="57"/>
        <v>7.6161462300071826E-4</v>
      </c>
      <c r="E172" s="211">
        <f t="shared" ref="E172:E191" si="58">(C172-$C$2)/$C$2</f>
        <v>-1.9025513213201623E-5</v>
      </c>
      <c r="F172" s="221">
        <v>4948.13</v>
      </c>
      <c r="G172" s="172">
        <f t="shared" ref="G172:G190" si="59">(F172-F171)/F171</f>
        <v>1.5788418992253922E-3</v>
      </c>
      <c r="H172" s="205">
        <f t="shared" si="49"/>
        <v>-2.8196869414930124E-2</v>
      </c>
      <c r="I172" s="223">
        <v>329335.82</v>
      </c>
      <c r="J172" s="174">
        <v>400000</v>
      </c>
      <c r="K172" s="174">
        <f t="shared" si="51"/>
        <v>1015.460000000021</v>
      </c>
      <c r="L172" s="172">
        <f t="shared" si="45"/>
        <v>3.0928937821584411E-3</v>
      </c>
      <c r="M172" s="184">
        <f t="shared" si="54"/>
        <v>-70664.179999999993</v>
      </c>
      <c r="N172" s="186">
        <f t="shared" si="55"/>
        <v>-0.17666044999999997</v>
      </c>
      <c r="O172" s="184" t="b">
        <f t="shared" si="53"/>
        <v>1</v>
      </c>
      <c r="P172" s="186">
        <f>COUNTIF(O$2:O172, TRUE)/(COUNTIF(O$2:O172,FALSE) + COUNTIF(O$2:O172, TRUE))</f>
        <v>0.4853801169590643</v>
      </c>
      <c r="Q172" s="174">
        <v>225120.43</v>
      </c>
      <c r="R172" s="174">
        <f t="shared" si="52"/>
        <v>104215.39000000001</v>
      </c>
      <c r="S172" s="174"/>
      <c r="T172" s="174"/>
      <c r="U172" s="186">
        <f>STDEV(D$2:D172)*SQRT(252)</f>
        <v>0.18897802119908777</v>
      </c>
      <c r="V172" s="186">
        <f>STDEV(L$2:L172)*SQRT(252)</f>
        <v>0.39662320245584515</v>
      </c>
      <c r="W172" s="184">
        <f t="shared" si="43"/>
        <v>-0.44541128432764099</v>
      </c>
    </row>
    <row r="173" spans="2:23" ht="20.100000000000001" customHeight="1" x14ac:dyDescent="0.25">
      <c r="B173" s="173">
        <v>42481</v>
      </c>
      <c r="C173" s="217">
        <v>2091.48</v>
      </c>
      <c r="D173" s="172">
        <f t="shared" si="57"/>
        <v>-5.194063926940674E-3</v>
      </c>
      <c r="E173" s="211">
        <f t="shared" si="58"/>
        <v>-5.2129906204220026E-3</v>
      </c>
      <c r="F173" s="221">
        <v>4945.88</v>
      </c>
      <c r="G173" s="172">
        <f t="shared" si="59"/>
        <v>-4.547172366126193E-4</v>
      </c>
      <c r="H173" s="205">
        <f t="shared" si="49"/>
        <v>-2.8638765049001261E-2</v>
      </c>
      <c r="I173" s="223">
        <v>327169.02</v>
      </c>
      <c r="J173" s="174">
        <v>400000</v>
      </c>
      <c r="K173" s="174">
        <f t="shared" si="51"/>
        <v>-2166.7999999999884</v>
      </c>
      <c r="L173" s="172">
        <f t="shared" si="45"/>
        <v>-6.5793025489908393E-3</v>
      </c>
      <c r="M173" s="184">
        <f t="shared" si="54"/>
        <v>-72830.979999999981</v>
      </c>
      <c r="N173" s="186">
        <f t="shared" si="55"/>
        <v>-0.18207744999999995</v>
      </c>
      <c r="O173" s="184" t="b">
        <f t="shared" si="53"/>
        <v>0</v>
      </c>
      <c r="P173" s="186">
        <f>COUNTIF(O$2:O173, TRUE)/(COUNTIF(O$2:O173,FALSE) + COUNTIF(O$2:O173, TRUE))</f>
        <v>0.48255813953488375</v>
      </c>
      <c r="Q173" s="174">
        <v>222953.63</v>
      </c>
      <c r="R173" s="174">
        <f t="shared" si="52"/>
        <v>104215.39000000001</v>
      </c>
      <c r="S173" s="174"/>
      <c r="T173" s="174"/>
      <c r="U173" s="186">
        <f>STDEV(D$2:D173)*SQRT(252)</f>
        <v>0.18852973440522966</v>
      </c>
      <c r="V173" s="186">
        <f>STDEV(L$2:L173)*SQRT(252)</f>
        <v>0.39552870627175002</v>
      </c>
      <c r="W173" s="184">
        <f t="shared" si="43"/>
        <v>-0.46033940675573293</v>
      </c>
    </row>
    <row r="174" spans="2:23" ht="20.100000000000001" customHeight="1" x14ac:dyDescent="0.25">
      <c r="B174" s="173">
        <v>42482</v>
      </c>
      <c r="C174" s="217">
        <v>2091.58</v>
      </c>
      <c r="D174" s="172">
        <f t="shared" si="57"/>
        <v>4.7813031919936622E-5</v>
      </c>
      <c r="E174" s="211">
        <f t="shared" si="58"/>
        <v>-5.1654268373889992E-3</v>
      </c>
      <c r="F174" s="221">
        <v>4906.28</v>
      </c>
      <c r="G174" s="172">
        <f t="shared" si="59"/>
        <v>-8.006664132571022E-3</v>
      </c>
      <c r="H174" s="205">
        <f t="shared" ref="H174:H191" si="60">(F174-F$2)/F$2</f>
        <v>-3.6416128208653316E-2</v>
      </c>
      <c r="I174" s="223">
        <v>331471.71000000002</v>
      </c>
      <c r="J174" s="174">
        <v>400000</v>
      </c>
      <c r="K174" s="174">
        <f t="shared" si="51"/>
        <v>4302.6900000000023</v>
      </c>
      <c r="L174" s="172">
        <f t="shared" si="45"/>
        <v>1.3151275753431673E-2</v>
      </c>
      <c r="M174" s="184">
        <f t="shared" si="54"/>
        <v>-68528.289999999979</v>
      </c>
      <c r="N174" s="186">
        <f t="shared" si="55"/>
        <v>-0.17132072499999995</v>
      </c>
      <c r="O174" s="184" t="b">
        <f t="shared" si="53"/>
        <v>1</v>
      </c>
      <c r="P174" s="186">
        <f>COUNTIF(O$2:O174, TRUE)/(COUNTIF(O$2:O174,FALSE) + COUNTIF(O$2:O174, TRUE))</f>
        <v>0.48554913294797686</v>
      </c>
      <c r="Q174" s="174">
        <v>230600.27</v>
      </c>
      <c r="R174" s="174">
        <f t="shared" si="52"/>
        <v>100871.44000000003</v>
      </c>
      <c r="S174" s="174"/>
      <c r="T174" s="174"/>
      <c r="U174" s="186">
        <f>STDEV(D$2:D174)*SQRT(252)</f>
        <v>0.18797766983654679</v>
      </c>
      <c r="V174" s="186">
        <f>STDEV(L$2:L174)*SQRT(252)</f>
        <v>0.39470764282961784</v>
      </c>
      <c r="W174" s="184">
        <f t="shared" si="43"/>
        <v>-0.43404461026348407</v>
      </c>
    </row>
    <row r="175" spans="2:23" ht="20.100000000000001" customHeight="1" x14ac:dyDescent="0.25">
      <c r="B175" s="246">
        <v>42485</v>
      </c>
      <c r="C175" s="247">
        <v>2087.79</v>
      </c>
      <c r="D175" s="172">
        <f t="shared" si="57"/>
        <v>-1.8120272712494688E-3</v>
      </c>
      <c r="E175" s="248">
        <f t="shared" si="58"/>
        <v>-6.9680942143414753E-3</v>
      </c>
      <c r="F175" s="249">
        <v>4895.78</v>
      </c>
      <c r="G175" s="172">
        <f t="shared" si="59"/>
        <v>-2.140114302485794E-3</v>
      </c>
      <c r="H175" s="250">
        <f t="shared" si="60"/>
        <v>-3.8478307834318611E-2</v>
      </c>
      <c r="I175" s="251">
        <v>325541.03000000003</v>
      </c>
      <c r="J175" s="252">
        <v>400000</v>
      </c>
      <c r="K175" s="252">
        <f t="shared" si="51"/>
        <v>-5930.679999999993</v>
      </c>
      <c r="L175" s="172">
        <f t="shared" si="45"/>
        <v>-1.7891964294630129E-2</v>
      </c>
      <c r="M175" s="253">
        <f t="shared" si="54"/>
        <v>-74458.969999999972</v>
      </c>
      <c r="N175" s="254">
        <f t="shared" si="55"/>
        <v>-0.18614742499999992</v>
      </c>
      <c r="O175" s="253" t="b">
        <f t="shared" si="53"/>
        <v>0</v>
      </c>
      <c r="P175" s="254">
        <f>COUNTIF(O$2:O175, TRUE)/(COUNTIF(O$2:O175,FALSE) + COUNTIF(O$2:O175, TRUE))</f>
        <v>0.48275862068965519</v>
      </c>
      <c r="Q175" s="252">
        <v>238708.14</v>
      </c>
      <c r="R175" s="252">
        <f t="shared" si="52"/>
        <v>86832.890000000014</v>
      </c>
      <c r="S175" s="252"/>
      <c r="T175" s="252"/>
      <c r="U175" s="254">
        <f>STDEV(D$2:D175)*SQRT(252)</f>
        <v>0.18744374998531149</v>
      </c>
      <c r="V175" s="254">
        <f>STDEV(L$2:L175)*SQRT(252)</f>
        <v>0.39413441432117591</v>
      </c>
      <c r="W175" s="253">
        <f t="shared" si="43"/>
        <v>-0.47229426874738822</v>
      </c>
    </row>
    <row r="176" spans="2:23" ht="20.100000000000001" customHeight="1" x14ac:dyDescent="0.25">
      <c r="B176" s="246">
        <v>42486</v>
      </c>
      <c r="C176" s="336">
        <v>2091.6999999999998</v>
      </c>
      <c r="D176" s="172">
        <f t="shared" si="57"/>
        <v>1.8727937196748019E-3</v>
      </c>
      <c r="E176" s="248">
        <f t="shared" si="58"/>
        <v>-5.1083502977493939E-3</v>
      </c>
      <c r="F176" s="249">
        <v>4888.28</v>
      </c>
      <c r="G176" s="172">
        <f t="shared" si="59"/>
        <v>-1.5319315818929772E-3</v>
      </c>
      <c r="H176" s="250">
        <f t="shared" si="60"/>
        <v>-3.9951293281222398E-2</v>
      </c>
      <c r="I176" s="251">
        <v>336797.26</v>
      </c>
      <c r="J176" s="252">
        <v>400000</v>
      </c>
      <c r="K176" s="252">
        <f t="shared" si="51"/>
        <v>11256.229999999981</v>
      </c>
      <c r="L176" s="172">
        <f t="shared" si="45"/>
        <v>3.4576993259497826E-2</v>
      </c>
      <c r="M176" s="253">
        <f t="shared" si="54"/>
        <v>-63202.739999999991</v>
      </c>
      <c r="N176" s="254">
        <f t="shared" si="55"/>
        <v>-0.15800684999999998</v>
      </c>
      <c r="O176" s="253" t="b">
        <f t="shared" si="53"/>
        <v>1</v>
      </c>
      <c r="P176" s="254">
        <f>COUNTIF(O$2:O176, TRUE)/(COUNTIF(O$2:O176,FALSE) + COUNTIF(O$2:O176, TRUE))</f>
        <v>0.48571428571428571</v>
      </c>
      <c r="Q176" s="252">
        <v>231627.32</v>
      </c>
      <c r="R176" s="252">
        <f t="shared" si="52"/>
        <v>105169.94</v>
      </c>
      <c r="S176" s="252"/>
      <c r="T176" s="252"/>
      <c r="U176" s="254">
        <f>STDEV(D$2:D176)*SQRT(252)</f>
        <v>0.18691439115354258</v>
      </c>
      <c r="V176" s="254">
        <f>STDEV(L$2:L176)*SQRT(252)</f>
        <v>0.39523474671048564</v>
      </c>
      <c r="W176" s="253">
        <f t="shared" si="43"/>
        <v>-0.39977975447523584</v>
      </c>
    </row>
    <row r="177" spans="2:23" ht="20.100000000000001" customHeight="1" x14ac:dyDescent="0.25">
      <c r="B177" s="246">
        <v>42487</v>
      </c>
      <c r="C177" s="336">
        <v>2095.15</v>
      </c>
      <c r="D177" s="172">
        <f t="shared" si="57"/>
        <v>1.6493761055602013E-3</v>
      </c>
      <c r="E177" s="248">
        <f t="shared" si="58"/>
        <v>-3.4673997831091321E-3</v>
      </c>
      <c r="F177" s="249">
        <v>4863.1400000000003</v>
      </c>
      <c r="G177" s="172">
        <f t="shared" si="59"/>
        <v>-5.1429132537414834E-3</v>
      </c>
      <c r="H177" s="250">
        <f t="shared" si="60"/>
        <v>-4.4888740499243768E-2</v>
      </c>
      <c r="I177" s="251">
        <v>341540.33</v>
      </c>
      <c r="J177" s="252">
        <v>400000</v>
      </c>
      <c r="K177" s="252">
        <f t="shared" si="51"/>
        <v>4743.070000000007</v>
      </c>
      <c r="L177" s="172">
        <f t="shared" si="45"/>
        <v>1.4082863975793648E-2</v>
      </c>
      <c r="M177" s="253">
        <f t="shared" si="54"/>
        <v>-58459.669999999984</v>
      </c>
      <c r="N177" s="254">
        <f t="shared" si="55"/>
        <v>-0.14614917499999996</v>
      </c>
      <c r="O177" s="253" t="b">
        <f t="shared" si="53"/>
        <v>1</v>
      </c>
      <c r="P177" s="254">
        <f>COUNTIF(O$2:O177, TRUE)/(COUNTIF(O$2:O177,FALSE) + COUNTIF(O$2:O177, TRUE))</f>
        <v>0.48863636363636365</v>
      </c>
      <c r="Q177" s="252">
        <v>245489.82</v>
      </c>
      <c r="R177" s="252">
        <f t="shared" si="52"/>
        <v>96050.510000000009</v>
      </c>
      <c r="S177" s="252"/>
      <c r="T177" s="252"/>
      <c r="U177" s="254">
        <f>STDEV(D$2:D177)*SQRT(252)</f>
        <v>0.18638651777551687</v>
      </c>
      <c r="V177" s="254">
        <f>STDEV(L$2:L177)*SQRT(252)</f>
        <v>0.39446713655061666</v>
      </c>
      <c r="W177" s="253">
        <f t="shared" si="43"/>
        <v>-0.37049772074294612</v>
      </c>
    </row>
    <row r="178" spans="2:23" ht="20.100000000000001" customHeight="1" x14ac:dyDescent="0.25">
      <c r="B178" s="246">
        <v>42488</v>
      </c>
      <c r="C178" s="336">
        <v>2075.81</v>
      </c>
      <c r="D178" s="172">
        <f t="shared" si="57"/>
        <v>-9.2308426604301094E-3</v>
      </c>
      <c r="E178" s="248">
        <f t="shared" si="58"/>
        <v>-1.2666235421700553E-2</v>
      </c>
      <c r="F178" s="249">
        <v>4805.29</v>
      </c>
      <c r="G178" s="172">
        <f t="shared" si="59"/>
        <v>-1.1895606542275229E-2</v>
      </c>
      <c r="H178" s="250">
        <f t="shared" si="60"/>
        <v>-5.6250368246361697E-2</v>
      </c>
      <c r="I178" s="251">
        <v>336936.02</v>
      </c>
      <c r="J178" s="252">
        <v>400000</v>
      </c>
      <c r="K178" s="252">
        <f t="shared" si="51"/>
        <v>-4604.3099999999977</v>
      </c>
      <c r="L178" s="172">
        <f t="shared" si="45"/>
        <v>-1.3481014086974729E-2</v>
      </c>
      <c r="M178" s="253">
        <f t="shared" si="54"/>
        <v>-63063.979999999981</v>
      </c>
      <c r="N178" s="254">
        <f t="shared" si="55"/>
        <v>-0.15765994999999997</v>
      </c>
      <c r="O178" s="253" t="b">
        <f t="shared" si="53"/>
        <v>0</v>
      </c>
      <c r="P178" s="254">
        <f>COUNTIF(O$2:O178, TRUE)/(COUNTIF(O$2:O178,FALSE) + COUNTIF(O$2:O178, TRUE))</f>
        <v>0.48587570621468928</v>
      </c>
      <c r="Q178" s="252">
        <v>254190.85</v>
      </c>
      <c r="R178" s="252">
        <f t="shared" si="52"/>
        <v>82745.170000000013</v>
      </c>
      <c r="S178" s="252"/>
      <c r="T178" s="252"/>
      <c r="U178" s="254">
        <f>STDEV(D$2:D178)*SQRT(252)</f>
        <v>0.18618462851964468</v>
      </c>
      <c r="V178" s="254">
        <f>STDEV(L$2:L178)*SQRT(252)</f>
        <v>0.39366590594633838</v>
      </c>
      <c r="W178" s="253">
        <f t="shared" si="43"/>
        <v>-0.40049175612757026</v>
      </c>
    </row>
    <row r="179" spans="2:23" ht="20.100000000000001" customHeight="1" x14ac:dyDescent="0.25">
      <c r="B179" s="246">
        <v>42489</v>
      </c>
      <c r="C179" s="336">
        <v>2065.3000000000002</v>
      </c>
      <c r="D179" s="172">
        <f t="shared" si="57"/>
        <v>-5.0630838082482326E-3</v>
      </c>
      <c r="E179" s="248">
        <f t="shared" si="58"/>
        <v>-1.7665189018473713E-2</v>
      </c>
      <c r="F179" s="249">
        <v>4775.3599999999997</v>
      </c>
      <c r="G179" s="172">
        <f t="shared" si="59"/>
        <v>-6.2285522830048323E-3</v>
      </c>
      <c r="H179" s="250">
        <f t="shared" si="60"/>
        <v>-6.2128562169805793E-2</v>
      </c>
      <c r="I179" s="482">
        <v>329545.53999999998</v>
      </c>
      <c r="J179" s="252">
        <v>400000</v>
      </c>
      <c r="K179" s="252">
        <f t="shared" si="51"/>
        <v>-7390.4800000000396</v>
      </c>
      <c r="L179" s="172">
        <f t="shared" si="45"/>
        <v>-2.1934371991454163E-2</v>
      </c>
      <c r="M179" s="253">
        <f t="shared" si="54"/>
        <v>-70454.460000000021</v>
      </c>
      <c r="N179" s="254">
        <f t="shared" si="55"/>
        <v>-0.17613615000000005</v>
      </c>
      <c r="O179" s="253" t="b">
        <f t="shared" si="53"/>
        <v>0</v>
      </c>
      <c r="P179" s="254">
        <f>COUNTIF(O$2:O179, TRUE)/(COUNTIF(O$2:O179,FALSE) + COUNTIF(O$2:O179, TRUE))</f>
        <v>0.48314606741573035</v>
      </c>
      <c r="Q179" s="252">
        <v>264639.32</v>
      </c>
      <c r="R179" s="252">
        <f t="shared" si="52"/>
        <v>64906.219999999972</v>
      </c>
      <c r="S179" s="252"/>
      <c r="T179" s="252"/>
      <c r="U179" s="254">
        <f>STDEV(D$2:D179)*SQRT(252)</f>
        <v>0.18575305494733241</v>
      </c>
      <c r="V179" s="254">
        <f>STDEV(L$2:L179)*SQRT(252)</f>
        <v>0.39340624271023572</v>
      </c>
      <c r="W179" s="253">
        <f t="shared" si="43"/>
        <v>-0.44772078039883456</v>
      </c>
    </row>
    <row r="180" spans="2:23" ht="20.100000000000001" customHeight="1" x14ac:dyDescent="0.25">
      <c r="B180" s="173">
        <v>42492</v>
      </c>
      <c r="C180" s="217">
        <v>2081.4299999999998</v>
      </c>
      <c r="D180" s="172">
        <f t="shared" si="57"/>
        <v>7.8100033893379424E-3</v>
      </c>
      <c r="E180" s="211">
        <f t="shared" si="58"/>
        <v>-9.9931508152433443E-3</v>
      </c>
      <c r="F180" s="221">
        <v>4817.59</v>
      </c>
      <c r="G180" s="172">
        <f t="shared" si="59"/>
        <v>8.8433123366616281E-3</v>
      </c>
      <c r="H180" s="205">
        <f t="shared" si="60"/>
        <v>-5.3834672113439459E-2</v>
      </c>
      <c r="I180" s="223">
        <v>323730.93</v>
      </c>
      <c r="J180" s="174">
        <v>400000</v>
      </c>
      <c r="K180" s="174">
        <f t="shared" si="51"/>
        <v>-5814.609999999986</v>
      </c>
      <c r="L180" s="172">
        <f t="shared" si="45"/>
        <v>-1.7644329217746314E-2</v>
      </c>
      <c r="M180" s="184">
        <f t="shared" si="54"/>
        <v>-76269.070000000007</v>
      </c>
      <c r="N180" s="186">
        <f t="shared" si="55"/>
        <v>-0.19067267500000001</v>
      </c>
      <c r="O180" s="184" t="b">
        <f t="shared" si="53"/>
        <v>0</v>
      </c>
      <c r="P180" s="186">
        <f>COUNTIF(O$2:O180, TRUE)/(COUNTIF(O$2:O180,FALSE) + COUNTIF(O$2:O180, TRUE))</f>
        <v>0.48044692737430167</v>
      </c>
      <c r="Q180" s="174">
        <v>258410.3</v>
      </c>
      <c r="R180" s="174">
        <f t="shared" si="52"/>
        <v>65320.630000000005</v>
      </c>
      <c r="S180" s="174"/>
      <c r="T180" s="174"/>
      <c r="U180" s="186">
        <f>STDEV(D$2:D180)*SQRT(252)</f>
        <v>0.18546248521467029</v>
      </c>
      <c r="V180" s="186">
        <f>STDEV(L$2:L180)*SQRT(252)</f>
        <v>0.39283799176483652</v>
      </c>
      <c r="W180" s="184">
        <f t="shared" si="43"/>
        <v>-0.48537228831508195</v>
      </c>
    </row>
    <row r="181" spans="2:23" ht="20.100000000000001" customHeight="1" x14ac:dyDescent="0.25">
      <c r="B181" s="173">
        <v>42493</v>
      </c>
      <c r="C181" s="217">
        <v>2063.37</v>
      </c>
      <c r="D181" s="172">
        <f t="shared" si="57"/>
        <v>-8.6767270578400179E-3</v>
      </c>
      <c r="E181" s="211">
        <f t="shared" si="58"/>
        <v>-1.8583170031011665E-2</v>
      </c>
      <c r="F181" s="221">
        <v>4763.22</v>
      </c>
      <c r="G181" s="172">
        <f t="shared" si="59"/>
        <v>-1.1285725850477083E-2</v>
      </c>
      <c r="H181" s="205">
        <f t="shared" si="60"/>
        <v>-6.4512834613193945E-2</v>
      </c>
      <c r="I181" s="223">
        <v>314233.52</v>
      </c>
      <c r="J181" s="174">
        <v>400000</v>
      </c>
      <c r="K181" s="174">
        <f t="shared" si="51"/>
        <v>-9497.4099999999744</v>
      </c>
      <c r="L181" s="172">
        <f t="shared" si="45"/>
        <v>-2.9337357415925549E-2</v>
      </c>
      <c r="M181" s="184">
        <f t="shared" si="54"/>
        <v>-85766.479999999981</v>
      </c>
      <c r="N181" s="186">
        <f t="shared" si="55"/>
        <v>-0.21441619999999995</v>
      </c>
      <c r="O181" s="184" t="b">
        <f t="shared" si="53"/>
        <v>0</v>
      </c>
      <c r="P181" s="186">
        <f>COUNTIF(O$2:O181, TRUE)/(COUNTIF(O$2:O181,FALSE) + COUNTIF(O$2:O181, TRUE))</f>
        <v>0.4777777777777778</v>
      </c>
      <c r="Q181" s="174">
        <v>250705.72</v>
      </c>
      <c r="R181" s="174">
        <f t="shared" si="52"/>
        <v>63527.800000000017</v>
      </c>
      <c r="S181" s="174"/>
      <c r="T181" s="174"/>
      <c r="U181" s="186">
        <f>STDEV(D$2:D181)*SQRT(252)</f>
        <v>0.18522787612316166</v>
      </c>
      <c r="V181" s="186">
        <f>STDEV(L$2:L181)*SQRT(252)</f>
        <v>0.3932386492905699</v>
      </c>
      <c r="W181" s="184">
        <f t="shared" si="43"/>
        <v>-0.5452571876818868</v>
      </c>
    </row>
    <row r="182" spans="2:23" ht="20.100000000000001" customHeight="1" x14ac:dyDescent="0.25">
      <c r="B182" s="173">
        <v>42494</v>
      </c>
      <c r="C182" s="217">
        <v>2051.12</v>
      </c>
      <c r="D182" s="172">
        <f t="shared" si="57"/>
        <v>-5.9368896513955329E-3</v>
      </c>
      <c r="E182" s="211">
        <f t="shared" si="58"/>
        <v>-2.4409733452559961E-2</v>
      </c>
      <c r="F182" s="221">
        <v>4725.6400000000003</v>
      </c>
      <c r="G182" s="172">
        <f t="shared" si="59"/>
        <v>-7.8896208867110743E-3</v>
      </c>
      <c r="H182" s="205">
        <f t="shared" si="60"/>
        <v>-7.1893473692479823E-2</v>
      </c>
      <c r="I182" s="223">
        <v>304379.90999999997</v>
      </c>
      <c r="J182" s="174">
        <v>400000</v>
      </c>
      <c r="K182" s="174">
        <f t="shared" si="51"/>
        <v>-9853.6100000000442</v>
      </c>
      <c r="L182" s="172">
        <f t="shared" si="45"/>
        <v>-3.135760309721268E-2</v>
      </c>
      <c r="M182" s="184">
        <f t="shared" si="54"/>
        <v>-95620.090000000026</v>
      </c>
      <c r="N182" s="186">
        <f t="shared" si="55"/>
        <v>-0.23905022500000006</v>
      </c>
      <c r="O182" s="184" t="b">
        <f t="shared" si="53"/>
        <v>0</v>
      </c>
      <c r="P182" s="186">
        <f>COUNTIF(O$2:O182, TRUE)/(COUNTIF(O$2:O182,FALSE) + COUNTIF(O$2:O182, TRUE))</f>
        <v>0.47513812154696133</v>
      </c>
      <c r="Q182" s="174">
        <v>275717.40999999997</v>
      </c>
      <c r="R182" s="174">
        <f t="shared" si="52"/>
        <v>28662.5</v>
      </c>
      <c r="S182" s="174"/>
      <c r="T182" s="174"/>
      <c r="U182" s="186">
        <f>STDEV(D$2:D182)*SQRT(252)</f>
        <v>0.18484162325464118</v>
      </c>
      <c r="V182" s="186">
        <f>STDEV(L$2:L182)*SQRT(252)</f>
        <v>0.39383207665570702</v>
      </c>
      <c r="W182" s="184">
        <f t="shared" si="43"/>
        <v>-0.60698515730342806</v>
      </c>
    </row>
    <row r="183" spans="2:23" ht="20.100000000000001" customHeight="1" x14ac:dyDescent="0.25">
      <c r="B183" s="173">
        <v>42495</v>
      </c>
      <c r="C183" s="217">
        <v>2050.63</v>
      </c>
      <c r="D183" s="172">
        <f t="shared" si="57"/>
        <v>-2.3889387261583024E-4</v>
      </c>
      <c r="E183" s="211">
        <f t="shared" si="58"/>
        <v>-2.464279598942179E-2</v>
      </c>
      <c r="F183" s="221">
        <v>4717.09</v>
      </c>
      <c r="G183" s="172">
        <f t="shared" si="59"/>
        <v>-1.8092787431967271E-3</v>
      </c>
      <c r="H183" s="205">
        <f t="shared" si="60"/>
        <v>-7.3572677101950174E-2</v>
      </c>
      <c r="I183" s="223">
        <v>304854.58</v>
      </c>
      <c r="J183" s="174">
        <v>400000</v>
      </c>
      <c r="K183" s="174">
        <f t="shared" si="51"/>
        <v>474.67000000004191</v>
      </c>
      <c r="L183" s="172">
        <f t="shared" si="45"/>
        <v>1.5594656033640392E-3</v>
      </c>
      <c r="M183" s="184">
        <f t="shared" si="54"/>
        <v>-95145.419999999984</v>
      </c>
      <c r="N183" s="186">
        <f t="shared" si="55"/>
        <v>-0.23786354999999995</v>
      </c>
      <c r="O183" s="184" t="b">
        <f t="shared" si="53"/>
        <v>1</v>
      </c>
      <c r="P183" s="186">
        <f>COUNTIF(O$2:O183, TRUE)/(COUNTIF(O$2:O183,FALSE) + COUNTIF(O$2:O183, TRUE))</f>
        <v>0.47802197802197804</v>
      </c>
      <c r="Q183" s="174">
        <v>244688.61</v>
      </c>
      <c r="R183" s="174">
        <f t="shared" si="52"/>
        <v>60165.97000000003</v>
      </c>
      <c r="S183" s="174"/>
      <c r="T183" s="174"/>
      <c r="U183" s="186">
        <f>STDEV(D$2:D183)*SQRT(252)</f>
        <v>0.18432756719124724</v>
      </c>
      <c r="V183" s="186">
        <f>STDEV(L$2:L183)*SQRT(252)</f>
        <v>0.39274558948509919</v>
      </c>
      <c r="W183" s="184">
        <f t="shared" si="43"/>
        <v>-0.60564282927236923</v>
      </c>
    </row>
    <row r="184" spans="2:23" ht="20.100000000000001" customHeight="1" x14ac:dyDescent="0.25">
      <c r="B184" s="173">
        <v>42496</v>
      </c>
      <c r="C184" s="217">
        <v>2057.14</v>
      </c>
      <c r="D184" s="172">
        <f t="shared" si="57"/>
        <v>3.1746341368261281E-3</v>
      </c>
      <c r="E184" s="211">
        <f t="shared" si="58"/>
        <v>-2.1546393713970519E-2</v>
      </c>
      <c r="F184" s="221">
        <v>4736.1499999999996</v>
      </c>
      <c r="G184" s="172">
        <f t="shared" si="59"/>
        <v>4.0406267423346784E-3</v>
      </c>
      <c r="H184" s="205">
        <f t="shared" si="60"/>
        <v>-6.9829330086218791E-2</v>
      </c>
      <c r="I184" s="223">
        <v>304553.01</v>
      </c>
      <c r="J184" s="174">
        <v>400000</v>
      </c>
      <c r="K184" s="174">
        <f t="shared" ref="K184:K191" si="61">I184-I183-J184+J183</f>
        <v>-301.57000000000698</v>
      </c>
      <c r="L184" s="172">
        <f t="shared" si="45"/>
        <v>-9.8922574822397935E-4</v>
      </c>
      <c r="M184" s="184">
        <f t="shared" si="54"/>
        <v>-95446.989999999991</v>
      </c>
      <c r="N184" s="186">
        <f t="shared" si="55"/>
        <v>-0.23861747499999997</v>
      </c>
      <c r="O184" s="184" t="b">
        <f t="shared" si="53"/>
        <v>0</v>
      </c>
      <c r="P184" s="186">
        <f>COUNTIF(O$2:O184, TRUE)/(COUNTIF(O$2:O184,FALSE) + COUNTIF(O$2:O184, TRUE))</f>
        <v>0.47540983606557374</v>
      </c>
      <c r="Q184" s="174">
        <v>244387.04</v>
      </c>
      <c r="R184" s="174">
        <f t="shared" si="52"/>
        <v>60165.97</v>
      </c>
      <c r="S184" s="174"/>
      <c r="T184" s="174"/>
      <c r="U184" s="186">
        <f>STDEV(D$2:D184)*SQRT(252)</f>
        <v>0.18385733310568392</v>
      </c>
      <c r="V184" s="186">
        <f>STDEV(L$2:L184)*SQRT(252)</f>
        <v>0.39165931974206192</v>
      </c>
      <c r="W184" s="184">
        <f t="shared" si="43"/>
        <v>-0.60924753471243354</v>
      </c>
    </row>
    <row r="185" spans="2:23" ht="20.100000000000001" customHeight="1" x14ac:dyDescent="0.25">
      <c r="B185" s="246">
        <v>42499</v>
      </c>
      <c r="C185" s="247">
        <v>2058.69</v>
      </c>
      <c r="D185" s="172">
        <f t="shared" si="57"/>
        <v>7.5347326871296166E-4</v>
      </c>
      <c r="E185" s="248">
        <f t="shared" si="58"/>
        <v>-2.08091550769582E-2</v>
      </c>
      <c r="F185" s="249">
        <v>4750.2</v>
      </c>
      <c r="G185" s="172">
        <f t="shared" si="59"/>
        <v>2.9665445562324214E-3</v>
      </c>
      <c r="H185" s="250">
        <f t="shared" si="60"/>
        <v>-6.706993734901899E-2</v>
      </c>
      <c r="I185" s="251">
        <v>298140.64</v>
      </c>
      <c r="J185" s="252">
        <v>400000</v>
      </c>
      <c r="K185" s="252">
        <f t="shared" si="61"/>
        <v>-6412.3699999999953</v>
      </c>
      <c r="L185" s="172">
        <f t="shared" si="45"/>
        <v>-2.1055020930510572E-2</v>
      </c>
      <c r="M185" s="253">
        <f t="shared" si="54"/>
        <v>-101859.35999999999</v>
      </c>
      <c r="N185" s="254">
        <f t="shared" si="55"/>
        <v>-0.25464839999999994</v>
      </c>
      <c r="O185" s="253" t="b">
        <f t="shared" si="53"/>
        <v>0</v>
      </c>
      <c r="P185" s="254">
        <f>COUNTIF(O$2:O185, TRUE)/(COUNTIF(O$2:O185,FALSE) + COUNTIF(O$2:O185, TRUE))</f>
        <v>0.47282608695652173</v>
      </c>
      <c r="Q185" s="252">
        <v>244388.04</v>
      </c>
      <c r="R185" s="252">
        <f t="shared" si="52"/>
        <v>53752.600000000006</v>
      </c>
      <c r="S185" s="252"/>
      <c r="T185" s="252"/>
      <c r="U185" s="254">
        <f>STDEV(D$2:D185)*SQRT(252)</f>
        <v>0.18335397650588192</v>
      </c>
      <c r="V185" s="254">
        <f>STDEV(L$2:L185)*SQRT(252)</f>
        <v>0.39131263252933984</v>
      </c>
      <c r="W185" s="253">
        <f t="shared" si="43"/>
        <v>-0.65075435554947725</v>
      </c>
    </row>
    <row r="186" spans="2:23" ht="20.100000000000001" customHeight="1" x14ac:dyDescent="0.25">
      <c r="B186" s="246">
        <v>42500</v>
      </c>
      <c r="C186" s="247">
        <v>2084.39</v>
      </c>
      <c r="D186" s="172">
        <f t="shared" si="57"/>
        <v>1.2483666797817941E-2</v>
      </c>
      <c r="E186" s="248">
        <f t="shared" si="58"/>
        <v>-8.5852628374651265E-3</v>
      </c>
      <c r="F186" s="249">
        <v>4809.88</v>
      </c>
      <c r="G186" s="172">
        <f t="shared" si="59"/>
        <v>1.2563681529198832E-2</v>
      </c>
      <c r="H186" s="250">
        <f t="shared" si="60"/>
        <v>-5.5348901152856553E-2</v>
      </c>
      <c r="I186" s="251">
        <v>304800.26</v>
      </c>
      <c r="J186" s="252">
        <v>400000</v>
      </c>
      <c r="K186" s="252">
        <f t="shared" si="61"/>
        <v>6659.6199999999953</v>
      </c>
      <c r="L186" s="172">
        <f t="shared" si="45"/>
        <v>2.2337176172963186E-2</v>
      </c>
      <c r="M186" s="253">
        <f t="shared" si="54"/>
        <v>-95199.739999999991</v>
      </c>
      <c r="N186" s="254">
        <f t="shared" si="55"/>
        <v>-0.23799934999999997</v>
      </c>
      <c r="O186" s="253" t="b">
        <f t="shared" si="53"/>
        <v>1</v>
      </c>
      <c r="P186" s="254">
        <f>COUNTIF(O$2:O186, TRUE)/(COUNTIF(O$2:O186,FALSE) + COUNTIF(O$2:O186, TRUE))</f>
        <v>0.4756756756756757</v>
      </c>
      <c r="Q186" s="252">
        <v>245950.62</v>
      </c>
      <c r="R186" s="252">
        <f t="shared" si="52"/>
        <v>58849.640000000014</v>
      </c>
      <c r="S186" s="252"/>
      <c r="T186" s="252"/>
      <c r="U186" s="254">
        <f>STDEV(D$2:D186)*SQRT(252)</f>
        <v>0.1834395508093867</v>
      </c>
      <c r="V186" s="254">
        <f>STDEV(L$2:L186)*SQRT(252)</f>
        <v>0.39117995017069312</v>
      </c>
      <c r="W186" s="253">
        <f t="shared" si="43"/>
        <v>-0.6084139790297225</v>
      </c>
    </row>
    <row r="187" spans="2:23" ht="20.100000000000001" customHeight="1" x14ac:dyDescent="0.25">
      <c r="B187" s="246">
        <v>42501</v>
      </c>
      <c r="C187" s="247">
        <v>2064.46</v>
      </c>
      <c r="D187" s="172">
        <f t="shared" si="57"/>
        <v>-9.5615503816463502E-3</v>
      </c>
      <c r="E187" s="248">
        <f t="shared" si="58"/>
        <v>-1.8064724795951378E-2</v>
      </c>
      <c r="F187" s="249">
        <v>4760.68</v>
      </c>
      <c r="G187" s="172">
        <f t="shared" si="59"/>
        <v>-1.0228945420675737E-2</v>
      </c>
      <c r="H187" s="250">
        <f t="shared" si="60"/>
        <v>-6.5011685684545351E-2</v>
      </c>
      <c r="I187" s="251">
        <v>308835.23</v>
      </c>
      <c r="J187" s="252">
        <v>400000</v>
      </c>
      <c r="K187" s="252">
        <f t="shared" si="61"/>
        <v>4034.9699999999721</v>
      </c>
      <c r="L187" s="172">
        <f t="shared" si="45"/>
        <v>1.3238079258856183E-2</v>
      </c>
      <c r="M187" s="253">
        <f t="shared" si="54"/>
        <v>-91164.770000000019</v>
      </c>
      <c r="N187" s="254">
        <f t="shared" si="55"/>
        <v>-0.22791192500000004</v>
      </c>
      <c r="O187" s="253" t="b">
        <f t="shared" si="53"/>
        <v>1</v>
      </c>
      <c r="P187" s="254">
        <f>COUNTIF(O$2:O187, TRUE)/(COUNTIF(O$2:O187,FALSE) + COUNTIF(O$2:O187, TRUE))</f>
        <v>0.478494623655914</v>
      </c>
      <c r="Q187" s="252">
        <v>248232.13</v>
      </c>
      <c r="R187" s="252">
        <f t="shared" si="52"/>
        <v>60603.099999999977</v>
      </c>
      <c r="S187" s="252"/>
      <c r="T187" s="252"/>
      <c r="U187" s="254">
        <f>STDEV(D$2:D187)*SQRT(252)</f>
        <v>0.18328184052807739</v>
      </c>
      <c r="V187" s="254">
        <f>STDEV(L$2:L187)*SQRT(252)</f>
        <v>0.39045309819153251</v>
      </c>
      <c r="W187" s="253">
        <f t="shared" si="43"/>
        <v>-0.58371140107639852</v>
      </c>
    </row>
    <row r="188" spans="2:23" ht="20.100000000000001" customHeight="1" x14ac:dyDescent="0.25">
      <c r="B188" s="246">
        <v>42502</v>
      </c>
      <c r="C188" s="247">
        <v>2064.11</v>
      </c>
      <c r="D188" s="172">
        <f t="shared" si="57"/>
        <v>-1.6953585925612947E-4</v>
      </c>
      <c r="E188" s="248">
        <f t="shared" si="58"/>
        <v>-1.8231198036567E-2</v>
      </c>
      <c r="F188" s="249">
        <v>4737.33</v>
      </c>
      <c r="G188" s="172">
        <f t="shared" si="59"/>
        <v>-4.9047615046590746E-3</v>
      </c>
      <c r="H188" s="250">
        <f t="shared" si="60"/>
        <v>-6.9597580375905868E-2</v>
      </c>
      <c r="I188" s="251">
        <v>304301.34000000003</v>
      </c>
      <c r="J188" s="252">
        <v>400000</v>
      </c>
      <c r="K188" s="252">
        <f t="shared" si="61"/>
        <v>-4533.8899999999558</v>
      </c>
      <c r="L188" s="172">
        <f t="shared" si="45"/>
        <v>-1.4680611405635154E-2</v>
      </c>
      <c r="M188" s="253">
        <f t="shared" si="54"/>
        <v>-95698.659999999974</v>
      </c>
      <c r="N188" s="254">
        <f t="shared" si="55"/>
        <v>-0.23924664999999995</v>
      </c>
      <c r="O188" s="253" t="b">
        <f t="shared" si="53"/>
        <v>0</v>
      </c>
      <c r="P188" s="254">
        <f>COUNTIF(O$2:O188, TRUE)/(COUNTIF(O$2:O188,FALSE) + COUNTIF(O$2:O188, TRUE))</f>
        <v>0.47593582887700536</v>
      </c>
      <c r="Q188" s="252">
        <v>280165.89</v>
      </c>
      <c r="R188" s="252">
        <f t="shared" si="52"/>
        <v>24135.450000000012</v>
      </c>
      <c r="S188" s="252"/>
      <c r="T188" s="252"/>
      <c r="U188" s="254">
        <f>STDEV(D$2:D188)*SQRT(252)</f>
        <v>0.1827858829252009</v>
      </c>
      <c r="V188" s="254">
        <f>STDEV(L$2:L188)*SQRT(252)</f>
        <v>0.38974137838139039</v>
      </c>
      <c r="W188" s="253">
        <f t="shared" si="43"/>
        <v>-0.61386001915834465</v>
      </c>
    </row>
    <row r="189" spans="2:23" ht="20.100000000000001" customHeight="1" x14ac:dyDescent="0.25">
      <c r="B189" s="246">
        <v>42503</v>
      </c>
      <c r="C189" s="247">
        <v>2046.61</v>
      </c>
      <c r="D189" s="172">
        <f t="shared" si="57"/>
        <v>-8.4782303268722235E-3</v>
      </c>
      <c r="E189" s="248">
        <f t="shared" si="58"/>
        <v>-2.6554860067350389E-2</v>
      </c>
      <c r="F189" s="249">
        <v>4717.68</v>
      </c>
      <c r="G189" s="172">
        <f t="shared" si="59"/>
        <v>-4.1479060990050592E-3</v>
      </c>
      <c r="H189" s="250">
        <f t="shared" si="60"/>
        <v>-7.3456802246793712E-2</v>
      </c>
      <c r="I189" s="251">
        <v>303736.26</v>
      </c>
      <c r="J189" s="252">
        <v>400000</v>
      </c>
      <c r="K189" s="252">
        <f t="shared" si="61"/>
        <v>-565.0800000000163</v>
      </c>
      <c r="L189" s="172">
        <f t="shared" si="45"/>
        <v>-1.8569750629425959E-3</v>
      </c>
      <c r="M189" s="253">
        <f t="shared" si="54"/>
        <v>-96263.739999999991</v>
      </c>
      <c r="N189" s="254">
        <f t="shared" si="55"/>
        <v>-0.24065934999999997</v>
      </c>
      <c r="O189" s="253" t="b">
        <f t="shared" si="53"/>
        <v>1</v>
      </c>
      <c r="P189" s="254">
        <f>COUNTIF(O$2:O189, TRUE)/(COUNTIF(O$2:O189,FALSE) + COUNTIF(O$2:O189, TRUE))</f>
        <v>0.47872340425531917</v>
      </c>
      <c r="Q189" s="252">
        <v>251738</v>
      </c>
      <c r="R189" s="252">
        <f t="shared" si="52"/>
        <v>51998.260000000009</v>
      </c>
      <c r="S189" s="252"/>
      <c r="T189" s="252"/>
      <c r="U189" s="254">
        <f>STDEV(D$2:D189)*SQRT(252)</f>
        <v>0.18255729754579855</v>
      </c>
      <c r="V189" s="254">
        <f>STDEV(L$2:L189)*SQRT(252)</f>
        <v>0.38869471253740751</v>
      </c>
      <c r="W189" s="253">
        <f t="shared" si="43"/>
        <v>-0.6191474754801024</v>
      </c>
    </row>
    <row r="190" spans="2:23" ht="20.100000000000001" customHeight="1" x14ac:dyDescent="0.25">
      <c r="B190" s="173">
        <v>42506</v>
      </c>
      <c r="C190" s="217">
        <v>2066.66</v>
      </c>
      <c r="D190" s="172">
        <f t="shared" si="57"/>
        <v>9.7966881819203239E-3</v>
      </c>
      <c r="E190" s="211">
        <f t="shared" si="58"/>
        <v>-1.7018321569224424E-2</v>
      </c>
      <c r="F190" s="221">
        <v>4775.45</v>
      </c>
      <c r="G190" s="172">
        <f t="shared" si="59"/>
        <v>1.224542571772556E-2</v>
      </c>
      <c r="H190" s="205">
        <f t="shared" si="60"/>
        <v>-6.2110886344442916E-2</v>
      </c>
      <c r="I190" s="223">
        <v>310136.52</v>
      </c>
      <c r="J190" s="174">
        <v>400000</v>
      </c>
      <c r="K190" s="174">
        <f t="shared" si="61"/>
        <v>6400.2600000000093</v>
      </c>
      <c r="L190" s="172">
        <f t="shared" si="45"/>
        <v>2.1071767987134657E-2</v>
      </c>
      <c r="M190" s="184">
        <f t="shared" si="54"/>
        <v>-89863.479999999981</v>
      </c>
      <c r="N190" s="186">
        <f t="shared" ref="N190:N221" si="62">M190/J190</f>
        <v>-0.22465869999999996</v>
      </c>
      <c r="O190" s="184" t="b">
        <f t="shared" si="53"/>
        <v>1</v>
      </c>
      <c r="P190" s="186">
        <f>COUNTIF(O$2:O190, TRUE)/(COUNTIF(O$2:O190,FALSE) + COUNTIF(O$2:O190, TRUE))</f>
        <v>0.48148148148148145</v>
      </c>
      <c r="Q190" s="174">
        <v>258123.64</v>
      </c>
      <c r="R190" s="174">
        <f t="shared" si="52"/>
        <v>52012.880000000005</v>
      </c>
      <c r="S190" s="174"/>
      <c r="T190" s="174"/>
      <c r="U190" s="186">
        <f>STDEV(D$2:D190)*SQRT(252)</f>
        <v>0.18242711588099725</v>
      </c>
      <c r="V190" s="186">
        <f>STDEV(L$2:L190)*SQRT(252)</f>
        <v>0.38847097955636578</v>
      </c>
      <c r="W190" s="184">
        <f t="shared" si="43"/>
        <v>-0.57831527146908224</v>
      </c>
    </row>
    <row r="191" spans="2:23" ht="20.100000000000001" customHeight="1" x14ac:dyDescent="0.25">
      <c r="B191" s="173">
        <v>42507</v>
      </c>
      <c r="C191" s="217">
        <v>2047.21</v>
      </c>
      <c r="D191" s="172">
        <f>(C191-C190)/C190</f>
        <v>-9.4113206816795313E-3</v>
      </c>
      <c r="E191" s="211">
        <f t="shared" si="58"/>
        <v>-2.6269477369152042E-2</v>
      </c>
      <c r="F191" s="221">
        <v>4715.7299999999996</v>
      </c>
      <c r="G191" s="172">
        <f>(F191-F190)/F190</f>
        <v>-1.2505627741888252E-2</v>
      </c>
      <c r="H191" s="205">
        <f t="shared" si="60"/>
        <v>-7.3839778462988837E-2</v>
      </c>
      <c r="I191" s="223">
        <v>311039.01</v>
      </c>
      <c r="J191" s="174">
        <v>400000</v>
      </c>
      <c r="K191" s="174">
        <f t="shared" si="61"/>
        <v>902.48999999999069</v>
      </c>
      <c r="L191" s="172">
        <f t="shared" si="45"/>
        <v>2.9099765483922711E-3</v>
      </c>
      <c r="M191" s="184">
        <f t="shared" si="54"/>
        <v>-88960.989999999991</v>
      </c>
      <c r="N191" s="186">
        <f t="shared" si="62"/>
        <v>-0.22240247499999999</v>
      </c>
      <c r="O191" s="184" t="b">
        <f t="shared" si="53"/>
        <v>1</v>
      </c>
      <c r="P191" s="186">
        <f>COUNTIF(O$2:O191, TRUE)/(COUNTIF(O$2:O191,FALSE) + COUNTIF(O$2:O191, TRUE))</f>
        <v>0.48421052631578948</v>
      </c>
      <c r="Q191" s="174">
        <v>255974.63</v>
      </c>
      <c r="R191" s="174">
        <f t="shared" si="52"/>
        <v>55064.380000000005</v>
      </c>
      <c r="S191" s="174"/>
      <c r="T191" s="174"/>
      <c r="U191" s="186">
        <f>STDEV(D$2:D191)*SQRT(252)</f>
        <v>0.18226379341821147</v>
      </c>
      <c r="V191" s="186">
        <f>STDEV(L$2:L191)*SQRT(252)</f>
        <v>0.38745717293573728</v>
      </c>
      <c r="W191" s="184">
        <f t="shared" si="43"/>
        <v>-0.57400531087054396</v>
      </c>
    </row>
    <row r="192" spans="2:23" ht="20.100000000000001" customHeight="1" x14ac:dyDescent="0.25">
      <c r="B192" s="173">
        <v>42508</v>
      </c>
      <c r="C192" s="217">
        <v>2047.63</v>
      </c>
      <c r="D192" s="172">
        <f>(C192-C191)/C191</f>
        <v>2.051572628113739E-4</v>
      </c>
      <c r="E192" s="211">
        <f t="shared" ref="E192:E223" si="63">(C192-$C$2)/$C$2</f>
        <v>-2.6069709480413209E-2</v>
      </c>
      <c r="F192" s="221">
        <v>4739.1099999999997</v>
      </c>
      <c r="G192" s="172">
        <f t="shared" ref="G192:G255" si="64">(F192-F191)/F191</f>
        <v>4.9578750267721249E-3</v>
      </c>
      <c r="H192" s="205">
        <f t="shared" ref="H192:H223" si="65">(F192-F$2)/F$2</f>
        <v>-6.9247991829840747E-2</v>
      </c>
      <c r="I192" s="223">
        <v>310817.56</v>
      </c>
      <c r="J192" s="174">
        <v>400000</v>
      </c>
      <c r="K192" s="174">
        <f t="shared" ref="K192:K223" si="66">I192-I191-J192+J191</f>
        <v>-221.45000000001164</v>
      </c>
      <c r="L192" s="172">
        <f t="shared" si="45"/>
        <v>-7.1196857268807415E-4</v>
      </c>
      <c r="M192" s="184">
        <f t="shared" ref="M192:M223" si="67">I192-J192</f>
        <v>-89182.44</v>
      </c>
      <c r="N192" s="186">
        <f t="shared" si="62"/>
        <v>-0.22295610000000002</v>
      </c>
      <c r="O192" s="184" t="b">
        <f t="shared" ref="O192:O223" si="68">L192&gt;D192</f>
        <v>0</v>
      </c>
      <c r="P192" s="186">
        <f>COUNTIF(O$2:O192, TRUE)/(COUNTIF(O$2:O192,FALSE) + COUNTIF(O$2:O192, TRUE))</f>
        <v>0.48167539267015708</v>
      </c>
      <c r="Q192" s="174">
        <v>257102.48</v>
      </c>
      <c r="R192" s="174">
        <f t="shared" ref="R192:R236" si="69">I192-Q192</f>
        <v>53715.079999999987</v>
      </c>
      <c r="S192" s="174"/>
      <c r="T192" s="174"/>
      <c r="U192" s="186">
        <f>STDEV(D$2:D192)*SQRT(252)</f>
        <v>0.18178126131382988</v>
      </c>
      <c r="V192" s="186">
        <f>STDEV(L$2:L192)*SQRT(252)</f>
        <v>0.38643084331736716</v>
      </c>
      <c r="W192" s="184">
        <f t="shared" si="43"/>
        <v>-0.5769624859289274</v>
      </c>
    </row>
    <row r="193" spans="2:23" ht="20.100000000000001" customHeight="1" x14ac:dyDescent="0.25">
      <c r="B193" s="173">
        <v>42509</v>
      </c>
      <c r="C193" s="217">
        <v>2040.04</v>
      </c>
      <c r="D193" s="172">
        <f t="shared" ref="D193:D256" si="70">(C193-C192)/C192</f>
        <v>-3.7067243593814046E-3</v>
      </c>
      <c r="E193" s="211">
        <f t="shared" si="63"/>
        <v>-2.9679800612621567E-2</v>
      </c>
      <c r="F193" s="221">
        <v>4712.53</v>
      </c>
      <c r="G193" s="172">
        <f t="shared" si="64"/>
        <v>-5.6086480372896869E-3</v>
      </c>
      <c r="H193" s="205">
        <f t="shared" si="65"/>
        <v>-7.4468252253667752E-2</v>
      </c>
      <c r="I193" s="223">
        <v>311569.3</v>
      </c>
      <c r="J193" s="174">
        <v>400000</v>
      </c>
      <c r="K193" s="174">
        <f t="shared" si="66"/>
        <v>751.73999999999069</v>
      </c>
      <c r="L193" s="172">
        <f t="shared" si="45"/>
        <v>2.4185892199912731E-3</v>
      </c>
      <c r="M193" s="184">
        <f t="shared" si="67"/>
        <v>-88430.700000000012</v>
      </c>
      <c r="N193" s="186">
        <f t="shared" si="62"/>
        <v>-0.22107675000000002</v>
      </c>
      <c r="O193" s="184" t="b">
        <f t="shared" si="68"/>
        <v>1</v>
      </c>
      <c r="P193" s="186">
        <f>COUNTIF(O$2:O193, TRUE)/(COUNTIF(O$2:O193,FALSE) + COUNTIF(O$2:O193, TRUE))</f>
        <v>0.484375</v>
      </c>
      <c r="Q193" s="174">
        <v>263424.27</v>
      </c>
      <c r="R193" s="174">
        <f t="shared" si="69"/>
        <v>48145.02999999997</v>
      </c>
      <c r="S193" s="174"/>
      <c r="T193" s="174"/>
      <c r="U193" s="186">
        <f>STDEV(D$2:D193)*SQRT(252)</f>
        <v>0.18135027686058963</v>
      </c>
      <c r="V193" s="186">
        <f>STDEV(L$2:L193)*SQRT(252)</f>
        <v>0.38542760333105391</v>
      </c>
      <c r="W193" s="184">
        <f t="shared" si="43"/>
        <v>-0.57358826427932663</v>
      </c>
    </row>
    <row r="194" spans="2:23" ht="20.100000000000001" customHeight="1" x14ac:dyDescent="0.25">
      <c r="B194" s="173">
        <v>42510</v>
      </c>
      <c r="C194" s="217">
        <v>2052.3200000000002</v>
      </c>
      <c r="D194" s="172">
        <f t="shared" si="70"/>
        <v>6.0194898139253154E-3</v>
      </c>
      <c r="E194" s="211">
        <f t="shared" si="63"/>
        <v>-2.3838968056163264E-2</v>
      </c>
      <c r="F194" s="221">
        <v>4769.55</v>
      </c>
      <c r="G194" s="172">
        <f t="shared" si="64"/>
        <v>1.209965772101195E-2</v>
      </c>
      <c r="H194" s="205">
        <f t="shared" si="65"/>
        <v>-6.3269634896007163E-2</v>
      </c>
      <c r="I194" s="223">
        <v>320418.83</v>
      </c>
      <c r="J194" s="174">
        <v>400000</v>
      </c>
      <c r="K194" s="174">
        <f t="shared" si="66"/>
        <v>8849.5300000000279</v>
      </c>
      <c r="L194" s="172">
        <f t="shared" si="45"/>
        <v>2.8403087210453752E-2</v>
      </c>
      <c r="M194" s="184">
        <f t="shared" si="67"/>
        <v>-79581.169999999984</v>
      </c>
      <c r="N194" s="186">
        <f t="shared" si="62"/>
        <v>-0.19895292499999995</v>
      </c>
      <c r="O194" s="184" t="b">
        <f t="shared" si="68"/>
        <v>1</v>
      </c>
      <c r="P194" s="186">
        <f>COUNTIF(O$2:O194, TRUE)/(COUNTIF(O$2:O194,FALSE) + COUNTIF(O$2:O194, TRUE))</f>
        <v>0.48704663212435234</v>
      </c>
      <c r="Q194" s="174">
        <v>264120.78000000003</v>
      </c>
      <c r="R194" s="174">
        <f t="shared" si="69"/>
        <v>56298.049999999988</v>
      </c>
      <c r="S194" s="174"/>
      <c r="T194" s="174"/>
      <c r="U194" s="186">
        <f>STDEV(D$2:D194)*SQRT(252)</f>
        <v>0.18101041145584279</v>
      </c>
      <c r="V194" s="186">
        <f>STDEV(L$2:L194)*SQRT(252)</f>
        <v>0.38584361102495252</v>
      </c>
      <c r="W194" s="184">
        <f t="shared" si="43"/>
        <v>-0.51563099482586394</v>
      </c>
    </row>
    <row r="195" spans="2:23" ht="20.100000000000001" customHeight="1" x14ac:dyDescent="0.25">
      <c r="B195" s="246">
        <v>42513</v>
      </c>
      <c r="C195" s="247">
        <v>2048.04</v>
      </c>
      <c r="D195" s="172">
        <f t="shared" si="70"/>
        <v>-2.085444764949033E-3</v>
      </c>
      <c r="E195" s="248">
        <f t="shared" si="63"/>
        <v>-2.5874697969977784E-2</v>
      </c>
      <c r="F195" s="249">
        <v>4765.78</v>
      </c>
      <c r="G195" s="172">
        <f t="shared" si="64"/>
        <v>-7.9043096308885254E-4</v>
      </c>
      <c r="H195" s="250">
        <f t="shared" si="65"/>
        <v>-6.4010055580650885E-2</v>
      </c>
      <c r="I195" s="251">
        <v>322945.12</v>
      </c>
      <c r="J195" s="252">
        <v>400000</v>
      </c>
      <c r="K195" s="252">
        <f t="shared" si="66"/>
        <v>2526.289999999979</v>
      </c>
      <c r="L195" s="172">
        <f t="shared" si="45"/>
        <v>7.8843368849451784E-3</v>
      </c>
      <c r="M195" s="253">
        <f t="shared" si="67"/>
        <v>-77054.880000000005</v>
      </c>
      <c r="N195" s="254">
        <f t="shared" si="62"/>
        <v>-0.19263720000000001</v>
      </c>
      <c r="O195" s="253" t="b">
        <f t="shared" si="68"/>
        <v>1</v>
      </c>
      <c r="P195" s="254">
        <f>COUNTIF(O$2:O195, TRUE)/(COUNTIF(O$2:O195,FALSE) + COUNTIF(O$2:O195, TRUE))</f>
        <v>0.48969072164948452</v>
      </c>
      <c r="Q195" s="252">
        <v>257529.17</v>
      </c>
      <c r="R195" s="252">
        <f t="shared" si="69"/>
        <v>65415.949999999983</v>
      </c>
      <c r="S195" s="252"/>
      <c r="T195" s="252"/>
      <c r="U195" s="254">
        <f>STDEV(D$2:D195)*SQRT(252)</f>
        <v>0.18055323575964988</v>
      </c>
      <c r="V195" s="254">
        <f>STDEV(L$2:L195)*SQRT(252)</f>
        <v>0.38495329027119468</v>
      </c>
      <c r="W195" s="253">
        <f t="shared" ref="W195:W258" si="71">N195/V195</f>
        <v>-0.50041707622316867</v>
      </c>
    </row>
    <row r="196" spans="2:23" ht="20.100000000000001" customHeight="1" x14ac:dyDescent="0.25">
      <c r="B196" s="246">
        <v>42514</v>
      </c>
      <c r="C196" s="247">
        <v>2076.06</v>
      </c>
      <c r="D196" s="172">
        <f t="shared" si="70"/>
        <v>1.3681373410675565E-2</v>
      </c>
      <c r="E196" s="248">
        <f t="shared" si="63"/>
        <v>-1.2547325964117933E-2</v>
      </c>
      <c r="F196" s="249">
        <v>4861.05</v>
      </c>
      <c r="G196" s="172">
        <f t="shared" si="64"/>
        <v>1.9990431786612146E-2</v>
      </c>
      <c r="H196" s="250">
        <f t="shared" si="65"/>
        <v>-4.5299212443780983E-2</v>
      </c>
      <c r="I196" s="251">
        <v>324441.06</v>
      </c>
      <c r="J196" s="252">
        <v>400000</v>
      </c>
      <c r="K196" s="252">
        <f t="shared" si="66"/>
        <v>1495.9400000000023</v>
      </c>
      <c r="L196" s="172">
        <f t="shared" ref="L196:L219" si="72">K196/I195</f>
        <v>4.6321802292600125E-3</v>
      </c>
      <c r="M196" s="253">
        <f t="shared" si="67"/>
        <v>-75558.94</v>
      </c>
      <c r="N196" s="254">
        <f t="shared" si="62"/>
        <v>-0.18889735000000002</v>
      </c>
      <c r="O196" s="253" t="b">
        <f t="shared" si="68"/>
        <v>0</v>
      </c>
      <c r="P196" s="254">
        <f>COUNTIF(O$2:O196, TRUE)/(COUNTIF(O$2:O196,FALSE) + COUNTIF(O$2:O196, TRUE))</f>
        <v>0.48717948717948717</v>
      </c>
      <c r="Q196" s="252">
        <v>256296.81</v>
      </c>
      <c r="R196" s="252">
        <f t="shared" si="69"/>
        <v>68144.25</v>
      </c>
      <c r="S196" s="252"/>
      <c r="T196" s="252"/>
      <c r="U196" s="254">
        <f>STDEV(D$2:D196)*SQRT(252)</f>
        <v>0.18076572452731524</v>
      </c>
      <c r="V196" s="254">
        <f>STDEV(L$2:L196)*SQRT(252)</f>
        <v>0.38399644388523335</v>
      </c>
      <c r="W196" s="253">
        <f t="shared" si="71"/>
        <v>-0.4919247378667303</v>
      </c>
    </row>
    <row r="197" spans="2:23" ht="20.100000000000001" customHeight="1" x14ac:dyDescent="0.25">
      <c r="B197" s="246">
        <v>42515</v>
      </c>
      <c r="C197" s="247">
        <v>2090.54</v>
      </c>
      <c r="D197" s="172">
        <f t="shared" si="70"/>
        <v>6.9747502480660573E-3</v>
      </c>
      <c r="E197" s="248">
        <f t="shared" si="63"/>
        <v>-5.6600901809326738E-3</v>
      </c>
      <c r="F197" s="249">
        <v>4894.8900000000003</v>
      </c>
      <c r="G197" s="172">
        <f t="shared" si="64"/>
        <v>6.9614589440553263E-3</v>
      </c>
      <c r="H197" s="250">
        <f t="shared" si="65"/>
        <v>-3.8653102107351081E-2</v>
      </c>
      <c r="I197" s="251">
        <v>329556.86</v>
      </c>
      <c r="J197" s="252">
        <v>400000</v>
      </c>
      <c r="K197" s="252">
        <f t="shared" si="66"/>
        <v>5115.7999999999884</v>
      </c>
      <c r="L197" s="172">
        <f t="shared" si="72"/>
        <v>1.5768041196758474E-2</v>
      </c>
      <c r="M197" s="253">
        <f t="shared" si="67"/>
        <v>-70443.140000000014</v>
      </c>
      <c r="N197" s="254">
        <f t="shared" si="62"/>
        <v>-0.17610785000000004</v>
      </c>
      <c r="O197" s="253" t="b">
        <f t="shared" si="68"/>
        <v>1</v>
      </c>
      <c r="P197" s="254">
        <f>COUNTIF(O$2:O197, TRUE)/(COUNTIF(O$2:O197,FALSE) + COUNTIF(O$2:O197, TRUE))</f>
        <v>0.48979591836734693</v>
      </c>
      <c r="Q197" s="252">
        <v>253103.72</v>
      </c>
      <c r="R197" s="252">
        <f t="shared" si="69"/>
        <v>76453.139999999985</v>
      </c>
      <c r="S197" s="252"/>
      <c r="T197" s="252"/>
      <c r="U197" s="254">
        <f>STDEV(D$2:D197)*SQRT(252)</f>
        <v>0.18047351369657114</v>
      </c>
      <c r="V197" s="254">
        <f>STDEV(L$2:L197)*SQRT(252)</f>
        <v>0.38344132562048239</v>
      </c>
      <c r="W197" s="253">
        <f t="shared" si="71"/>
        <v>-0.45928239402736104</v>
      </c>
    </row>
    <row r="198" spans="2:23" ht="20.100000000000001" customHeight="1" x14ac:dyDescent="0.25">
      <c r="B198" s="246">
        <v>42516</v>
      </c>
      <c r="C198" s="247">
        <v>2090.1</v>
      </c>
      <c r="D198" s="172">
        <f t="shared" si="70"/>
        <v>-2.1047193548081098E-4</v>
      </c>
      <c r="E198" s="248">
        <f t="shared" si="63"/>
        <v>-5.8693708262781081E-3</v>
      </c>
      <c r="F198" s="249">
        <v>4901.76</v>
      </c>
      <c r="G198" s="172">
        <f t="shared" si="64"/>
        <v>1.4035044709891111E-3</v>
      </c>
      <c r="H198" s="250">
        <f t="shared" si="65"/>
        <v>-3.7303847437987238E-2</v>
      </c>
      <c r="I198" s="251">
        <v>327477.31</v>
      </c>
      <c r="J198" s="252">
        <v>400000</v>
      </c>
      <c r="K198" s="252">
        <f t="shared" si="66"/>
        <v>-2079.5499999999884</v>
      </c>
      <c r="L198" s="172">
        <f t="shared" si="72"/>
        <v>-6.3101402289122083E-3</v>
      </c>
      <c r="M198" s="253">
        <f t="shared" si="67"/>
        <v>-72522.69</v>
      </c>
      <c r="N198" s="254">
        <f t="shared" si="62"/>
        <v>-0.181306725</v>
      </c>
      <c r="O198" s="253" t="b">
        <f t="shared" si="68"/>
        <v>0</v>
      </c>
      <c r="P198" s="254">
        <f>COUNTIF(O$2:O198, TRUE)/(COUNTIF(O$2:O198,FALSE) + COUNTIF(O$2:O198, TRUE))</f>
        <v>0.48730964467005078</v>
      </c>
      <c r="Q198" s="252">
        <v>253608.16</v>
      </c>
      <c r="R198" s="252">
        <f t="shared" si="69"/>
        <v>73869.149999999994</v>
      </c>
      <c r="S198" s="252"/>
      <c r="T198" s="252"/>
      <c r="U198" s="254">
        <f>STDEV(D$2:D198)*SQRT(252)</f>
        <v>0.18001038194737823</v>
      </c>
      <c r="V198" s="254">
        <f>STDEV(L$2:L198)*SQRT(252)</f>
        <v>0.38251907030209392</v>
      </c>
      <c r="W198" s="253">
        <f t="shared" si="71"/>
        <v>-0.4739808785397634</v>
      </c>
    </row>
    <row r="199" spans="2:23" ht="20.100000000000001" customHeight="1" x14ac:dyDescent="0.25">
      <c r="B199" s="246">
        <v>42517</v>
      </c>
      <c r="C199" s="247">
        <v>2099.06</v>
      </c>
      <c r="D199" s="172">
        <f t="shared" si="70"/>
        <v>4.2868762260179112E-3</v>
      </c>
      <c r="E199" s="248">
        <f t="shared" si="63"/>
        <v>-1.6076558665170512E-3</v>
      </c>
      <c r="F199" s="249">
        <v>4933.5</v>
      </c>
      <c r="G199" s="172">
        <f t="shared" si="64"/>
        <v>6.4752252252251808E-3</v>
      </c>
      <c r="H199" s="250">
        <f t="shared" si="65"/>
        <v>-3.1070173026690462E-2</v>
      </c>
      <c r="I199" s="251">
        <v>327126.28999999998</v>
      </c>
      <c r="J199" s="252">
        <v>400000</v>
      </c>
      <c r="K199" s="252">
        <f t="shared" si="66"/>
        <v>-351.02000000001863</v>
      </c>
      <c r="L199" s="172">
        <f t="shared" si="72"/>
        <v>-1.0718910571239841E-3</v>
      </c>
      <c r="M199" s="253">
        <f t="shared" si="67"/>
        <v>-72873.710000000021</v>
      </c>
      <c r="N199" s="254">
        <f t="shared" si="62"/>
        <v>-0.18218427500000006</v>
      </c>
      <c r="O199" s="253" t="b">
        <f t="shared" si="68"/>
        <v>0</v>
      </c>
      <c r="P199" s="254">
        <f>COUNTIF(O$2:O199, TRUE)/(COUNTIF(O$2:O199,FALSE) + COUNTIF(O$2:O199, TRUE))</f>
        <v>0.48484848484848486</v>
      </c>
      <c r="Q199" s="252">
        <v>252103.35</v>
      </c>
      <c r="R199" s="252">
        <f t="shared" si="69"/>
        <v>75022.939999999973</v>
      </c>
      <c r="S199" s="252">
        <v>-82653.611999999514</v>
      </c>
      <c r="T199" s="252">
        <f t="shared" ref="T199:T204" si="73">M199-S199</f>
        <v>9779.9019999994925</v>
      </c>
      <c r="U199" s="254">
        <f>STDEV(D$2:D199)*SQRT(252)</f>
        <v>0.17961500199880534</v>
      </c>
      <c r="V199" s="254">
        <f>STDEV(L$2:L199)*SQRT(252)</f>
        <v>0.38154311840719901</v>
      </c>
      <c r="W199" s="253">
        <f t="shared" si="71"/>
        <v>-0.47749327981736855</v>
      </c>
    </row>
    <row r="200" spans="2:23" ht="20.100000000000001" customHeight="1" x14ac:dyDescent="0.25">
      <c r="B200" s="173">
        <v>42521</v>
      </c>
      <c r="C200" s="217">
        <v>2096.9499999999998</v>
      </c>
      <c r="D200" s="172">
        <f t="shared" si="70"/>
        <v>-1.0052118567359328E-3</v>
      </c>
      <c r="E200" s="211">
        <f t="shared" si="63"/>
        <v>-2.6112516885144102E-3</v>
      </c>
      <c r="F200" s="221">
        <v>4948.05</v>
      </c>
      <c r="G200" s="172">
        <f t="shared" si="64"/>
        <v>2.9492246883551601E-3</v>
      </c>
      <c r="H200" s="205">
        <f t="shared" si="65"/>
        <v>-2.8212581259697084E-2</v>
      </c>
      <c r="I200" s="483">
        <v>330773</v>
      </c>
      <c r="J200" s="174">
        <v>400000</v>
      </c>
      <c r="K200" s="174">
        <f t="shared" si="66"/>
        <v>3646.710000000021</v>
      </c>
      <c r="L200" s="172">
        <f t="shared" si="72"/>
        <v>1.1147713013221962E-2</v>
      </c>
      <c r="M200" s="184">
        <f t="shared" si="67"/>
        <v>-69227</v>
      </c>
      <c r="N200" s="186">
        <f t="shared" si="62"/>
        <v>-0.17306750000000001</v>
      </c>
      <c r="O200" s="184" t="b">
        <f t="shared" si="68"/>
        <v>1</v>
      </c>
      <c r="P200" s="186">
        <f>COUNTIF(O$2:O200, TRUE)/(COUNTIF(O$2:O200,FALSE) + COUNTIF(O$2:O200, TRUE))</f>
        <v>0.48743718592964824</v>
      </c>
      <c r="Q200" s="174">
        <v>253849.33</v>
      </c>
      <c r="R200" s="174">
        <f t="shared" si="69"/>
        <v>76923.670000000013</v>
      </c>
      <c r="S200" s="174">
        <v>-78775</v>
      </c>
      <c r="T200" s="174">
        <f t="shared" si="73"/>
        <v>9548</v>
      </c>
      <c r="U200" s="186">
        <f>STDEV(D$2:D200)*SQRT(252)</f>
        <v>0.17916254338672621</v>
      </c>
      <c r="V200" s="186">
        <f>STDEV(L$2:L200)*SQRT(252)</f>
        <v>0.38079113185082497</v>
      </c>
      <c r="W200" s="184">
        <f t="shared" si="71"/>
        <v>-0.45449456545589734</v>
      </c>
    </row>
    <row r="201" spans="2:23" ht="20.100000000000001" customHeight="1" x14ac:dyDescent="0.25">
      <c r="B201" s="173">
        <v>42522</v>
      </c>
      <c r="C201" s="217">
        <v>2099.33</v>
      </c>
      <c r="D201" s="172">
        <f t="shared" si="70"/>
        <v>1.1349817592217789E-3</v>
      </c>
      <c r="E201" s="211">
        <f t="shared" si="63"/>
        <v>-1.4792336523278321E-3</v>
      </c>
      <c r="F201" s="221">
        <v>4952.25</v>
      </c>
      <c r="G201" s="172">
        <f t="shared" si="64"/>
        <v>8.4881923181855839E-4</v>
      </c>
      <c r="H201" s="205">
        <f t="shared" si="65"/>
        <v>-2.7387709409430999E-2</v>
      </c>
      <c r="I201" s="223">
        <v>334317.64</v>
      </c>
      <c r="J201" s="174">
        <v>400000</v>
      </c>
      <c r="K201" s="174">
        <f t="shared" si="66"/>
        <v>3544.640000000014</v>
      </c>
      <c r="L201" s="172">
        <f t="shared" si="72"/>
        <v>1.0716231373177417E-2</v>
      </c>
      <c r="M201" s="184">
        <f t="shared" si="67"/>
        <v>-65682.359999999986</v>
      </c>
      <c r="N201" s="186">
        <f t="shared" si="62"/>
        <v>-0.16420589999999996</v>
      </c>
      <c r="O201" s="184" t="b">
        <f t="shared" si="68"/>
        <v>1</v>
      </c>
      <c r="P201" s="186">
        <f>COUNTIF(O$2:O201, TRUE)/(COUNTIF(O$2:O201,FALSE) + COUNTIF(O$2:O201, TRUE))</f>
        <v>0.49</v>
      </c>
      <c r="Q201" s="174">
        <v>248634.19</v>
      </c>
      <c r="R201" s="174">
        <f t="shared" si="69"/>
        <v>85683.450000000012</v>
      </c>
      <c r="S201" s="174">
        <v>-75736.72</v>
      </c>
      <c r="T201" s="174">
        <f t="shared" si="73"/>
        <v>10054.360000000015</v>
      </c>
      <c r="U201" s="186">
        <f>STDEV(D$2:D201)*SQRT(252)</f>
        <v>0.17871370889489749</v>
      </c>
      <c r="V201" s="186">
        <f>STDEV(L$2:L201)*SQRT(252)</f>
        <v>0.3800270839694988</v>
      </c>
      <c r="W201" s="184">
        <f t="shared" si="71"/>
        <v>-0.43208999286266453</v>
      </c>
    </row>
    <row r="202" spans="2:23" ht="20.100000000000001" customHeight="1" x14ac:dyDescent="0.25">
      <c r="B202" s="173">
        <v>42523</v>
      </c>
      <c r="C202" s="217">
        <v>2105.2600000000002</v>
      </c>
      <c r="D202" s="172">
        <f t="shared" si="70"/>
        <v>2.8247107410460915E-3</v>
      </c>
      <c r="E202" s="211">
        <f t="shared" si="63"/>
        <v>1.3412986815320121E-3</v>
      </c>
      <c r="F202" s="221">
        <v>4971.3599999999997</v>
      </c>
      <c r="G202" s="172">
        <f t="shared" si="64"/>
        <v>3.8588520369528339E-3</v>
      </c>
      <c r="H202" s="205">
        <f t="shared" si="65"/>
        <v>-2.3634542490720223E-2</v>
      </c>
      <c r="I202" s="223">
        <v>335688.99</v>
      </c>
      <c r="J202" s="174">
        <v>400000</v>
      </c>
      <c r="K202" s="174">
        <f t="shared" si="66"/>
        <v>1371.3499999999767</v>
      </c>
      <c r="L202" s="172">
        <f t="shared" si="72"/>
        <v>4.1019373072864974E-3</v>
      </c>
      <c r="M202" s="184">
        <f t="shared" si="67"/>
        <v>-64311.010000000009</v>
      </c>
      <c r="N202" s="186">
        <f t="shared" si="62"/>
        <v>-0.16077752500000003</v>
      </c>
      <c r="O202" s="184" t="b">
        <f t="shared" si="68"/>
        <v>1</v>
      </c>
      <c r="P202" s="186">
        <f>COUNTIF(O$2:O202, TRUE)/(COUNTIF(O$2:O202,FALSE) + COUNTIF(O$2:O202, TRUE))</f>
        <v>0.4925373134328358</v>
      </c>
      <c r="Q202" s="174">
        <v>250005.54</v>
      </c>
      <c r="R202" s="174">
        <f t="shared" si="69"/>
        <v>85683.449999999983</v>
      </c>
      <c r="S202" s="174">
        <v>-74052.52</v>
      </c>
      <c r="T202" s="174">
        <f t="shared" si="73"/>
        <v>9741.5099999999948</v>
      </c>
      <c r="U202" s="186">
        <f>STDEV(D$2:D202)*SQRT(252)</f>
        <v>0.17829120938366202</v>
      </c>
      <c r="V202" s="186">
        <f>STDEV(L$2:L202)*SQRT(252)</f>
        <v>0.37910108221879157</v>
      </c>
      <c r="W202" s="184">
        <f t="shared" si="71"/>
        <v>-0.42410199427288919</v>
      </c>
    </row>
    <row r="203" spans="2:23" ht="20.100000000000001" customHeight="1" x14ac:dyDescent="0.25">
      <c r="B203" s="173">
        <v>42524</v>
      </c>
      <c r="C203" s="217">
        <v>2099.13</v>
      </c>
      <c r="D203" s="172">
        <f t="shared" si="70"/>
        <v>-2.911754367631603E-3</v>
      </c>
      <c r="E203" s="211">
        <f t="shared" si="63"/>
        <v>-1.5743612183938402E-3</v>
      </c>
      <c r="F203" s="221">
        <v>4942.51</v>
      </c>
      <c r="G203" s="172">
        <f t="shared" si="64"/>
        <v>-5.8032409642430755E-3</v>
      </c>
      <c r="H203" s="205">
        <f t="shared" si="65"/>
        <v>-2.9300626509810006E-2</v>
      </c>
      <c r="I203" s="223">
        <v>333931.11</v>
      </c>
      <c r="J203" s="174">
        <v>400000</v>
      </c>
      <c r="K203" s="174">
        <f t="shared" si="66"/>
        <v>-1757.8800000000047</v>
      </c>
      <c r="L203" s="172">
        <f t="shared" si="72"/>
        <v>-5.2366328725884179E-3</v>
      </c>
      <c r="M203" s="184">
        <f t="shared" si="67"/>
        <v>-66068.890000000014</v>
      </c>
      <c r="N203" s="186">
        <f t="shared" si="62"/>
        <v>-0.16517222500000003</v>
      </c>
      <c r="O203" s="184" t="b">
        <f t="shared" si="68"/>
        <v>0</v>
      </c>
      <c r="P203" s="186">
        <f>COUNTIF(O$2:O203, TRUE)/(COUNTIF(O$2:O203,FALSE) + COUNTIF(O$2:O203, TRUE))</f>
        <v>0.49009900990099009</v>
      </c>
      <c r="Q203" s="174">
        <v>260288.76</v>
      </c>
      <c r="R203" s="174">
        <f t="shared" si="69"/>
        <v>73642.349999999977</v>
      </c>
      <c r="S203" s="174">
        <v>-75134.75</v>
      </c>
      <c r="T203" s="174">
        <f t="shared" si="73"/>
        <v>9065.859999999986</v>
      </c>
      <c r="U203" s="186">
        <f>STDEV(D$2:D203)*SQRT(252)</f>
        <v>0.17787624865882645</v>
      </c>
      <c r="V203" s="186">
        <f>STDEV(L$2:L203)*SQRT(252)</f>
        <v>0.37819539294836535</v>
      </c>
      <c r="W203" s="184">
        <f t="shared" si="71"/>
        <v>-0.4367378029444976</v>
      </c>
    </row>
    <row r="204" spans="2:23" ht="20.100000000000001" customHeight="1" x14ac:dyDescent="0.25">
      <c r="B204" s="246">
        <v>42527</v>
      </c>
      <c r="C204" s="247">
        <v>2109.41</v>
      </c>
      <c r="D204" s="172">
        <f t="shared" si="70"/>
        <v>4.8972669629797792E-3</v>
      </c>
      <c r="E204" s="248">
        <f t="shared" si="63"/>
        <v>3.3151956774033027E-3</v>
      </c>
      <c r="F204" s="249">
        <v>4968.71</v>
      </c>
      <c r="G204" s="172">
        <f t="shared" si="64"/>
        <v>5.300950326858179E-3</v>
      </c>
      <c r="H204" s="250">
        <f t="shared" si="65"/>
        <v>-2.4154997348626153E-2</v>
      </c>
      <c r="I204" s="251">
        <v>340934.25</v>
      </c>
      <c r="J204" s="252">
        <v>400000</v>
      </c>
      <c r="K204" s="252">
        <f t="shared" si="66"/>
        <v>7003.140000000014</v>
      </c>
      <c r="L204" s="172">
        <f t="shared" si="72"/>
        <v>2.0971810622855757E-2</v>
      </c>
      <c r="M204" s="253">
        <f t="shared" si="67"/>
        <v>-59065.75</v>
      </c>
      <c r="N204" s="254">
        <f t="shared" si="62"/>
        <v>-0.14766437499999999</v>
      </c>
      <c r="O204" s="253" t="b">
        <f t="shared" si="68"/>
        <v>1</v>
      </c>
      <c r="P204" s="254">
        <f>COUNTIF(O$2:O204, TRUE)/(COUNTIF(O$2:O204,FALSE) + COUNTIF(O$2:O204, TRUE))</f>
        <v>0.49261083743842365</v>
      </c>
      <c r="Q204" s="252">
        <v>226096.58</v>
      </c>
      <c r="R204" s="252">
        <f t="shared" si="69"/>
        <v>114837.67000000001</v>
      </c>
      <c r="S204" s="252">
        <v>-68552.800000000003</v>
      </c>
      <c r="T204" s="252">
        <f t="shared" si="73"/>
        <v>9487.0500000000029</v>
      </c>
      <c r="U204" s="254">
        <f>STDEV(D$2:D204)*SQRT(252)</f>
        <v>0.17751563901521938</v>
      </c>
      <c r="V204" s="254">
        <f>STDEV(L$2:L204)*SQRT(252)</f>
        <v>0.3779906391006832</v>
      </c>
      <c r="W204" s="253">
        <f t="shared" si="71"/>
        <v>-0.39065616902927447</v>
      </c>
    </row>
    <row r="205" spans="2:23" ht="20.100000000000001" customHeight="1" x14ac:dyDescent="0.25">
      <c r="B205" s="246">
        <v>42528</v>
      </c>
      <c r="C205" s="247">
        <v>2112.13</v>
      </c>
      <c r="D205" s="172">
        <f t="shared" si="70"/>
        <v>1.289460085995731E-3</v>
      </c>
      <c r="E205" s="248">
        <f t="shared" si="63"/>
        <v>4.6089305759023109E-3</v>
      </c>
      <c r="F205" s="249">
        <v>4961.75</v>
      </c>
      <c r="G205" s="172">
        <f t="shared" si="64"/>
        <v>-1.4007659935878802E-3</v>
      </c>
      <c r="H205" s="250">
        <f t="shared" si="65"/>
        <v>-2.5521927843352873E-2</v>
      </c>
      <c r="I205" s="251">
        <v>347691.97</v>
      </c>
      <c r="J205" s="252">
        <v>400000</v>
      </c>
      <c r="K205" s="252">
        <f t="shared" si="66"/>
        <v>6757.7199999999721</v>
      </c>
      <c r="L205" s="172">
        <f t="shared" si="72"/>
        <v>1.9821182530062532E-2</v>
      </c>
      <c r="M205" s="253">
        <f t="shared" si="67"/>
        <v>-52308.030000000028</v>
      </c>
      <c r="N205" s="254">
        <f t="shared" si="62"/>
        <v>-0.13077007500000007</v>
      </c>
      <c r="O205" s="253" t="b">
        <f t="shared" si="68"/>
        <v>1</v>
      </c>
      <c r="P205" s="254">
        <f>COUNTIF(O$2:O205, TRUE)/(COUNTIF(O$2:O205,FALSE) + COUNTIF(O$2:O205, TRUE))</f>
        <v>0.49509803921568629</v>
      </c>
      <c r="Q205" s="252">
        <v>221341.46</v>
      </c>
      <c r="R205" s="252">
        <f t="shared" si="69"/>
        <v>126350.50999999998</v>
      </c>
      <c r="S205" s="252">
        <v>-62220.480000000003</v>
      </c>
      <c r="T205" s="252">
        <f t="shared" ref="T205:T236" si="74">M205-S205</f>
        <v>9912.4499999999753</v>
      </c>
      <c r="U205" s="254">
        <f>STDEV(D$2:D205)*SQRT(252)</f>
        <v>0.1770808372915795</v>
      </c>
      <c r="V205" s="254">
        <f>STDEV(L$2:L205)*SQRT(252)</f>
        <v>0.37770326655936998</v>
      </c>
      <c r="W205" s="253">
        <f t="shared" si="71"/>
        <v>-0.34622436864586859</v>
      </c>
    </row>
    <row r="206" spans="2:23" ht="20.100000000000001" customHeight="1" x14ac:dyDescent="0.25">
      <c r="B206" s="246">
        <v>42529</v>
      </c>
      <c r="C206" s="247">
        <v>2119.12</v>
      </c>
      <c r="D206" s="172">
        <f t="shared" si="70"/>
        <v>3.3094553839014555E-3</v>
      </c>
      <c r="E206" s="248">
        <f t="shared" si="63"/>
        <v>7.9336390099122144E-3</v>
      </c>
      <c r="F206" s="249">
        <v>4974.6400000000003</v>
      </c>
      <c r="G206" s="172">
        <f t="shared" si="64"/>
        <v>2.5978737340656677E-3</v>
      </c>
      <c r="H206" s="250">
        <f t="shared" si="65"/>
        <v>-2.2990356855274171E-2</v>
      </c>
      <c r="I206" s="251">
        <v>345415.56</v>
      </c>
      <c r="J206" s="252">
        <v>400000</v>
      </c>
      <c r="K206" s="252">
        <f t="shared" si="66"/>
        <v>-2276.4099999999744</v>
      </c>
      <c r="L206" s="172">
        <f t="shared" si="72"/>
        <v>-6.5472032615535372E-3</v>
      </c>
      <c r="M206" s="253">
        <f t="shared" si="67"/>
        <v>-54584.44</v>
      </c>
      <c r="N206" s="254">
        <f t="shared" si="62"/>
        <v>-0.1364611</v>
      </c>
      <c r="O206" s="253" t="b">
        <f t="shared" si="68"/>
        <v>0</v>
      </c>
      <c r="P206" s="254">
        <f>COUNTIF(O$2:O206, TRUE)/(COUNTIF(O$2:O206,FALSE) + COUNTIF(O$2:O206, TRUE))</f>
        <v>0.49268292682926829</v>
      </c>
      <c r="Q206" s="252">
        <v>224599.69</v>
      </c>
      <c r="R206" s="252">
        <f t="shared" si="69"/>
        <v>120815.87</v>
      </c>
      <c r="S206" s="252">
        <v>-64591.5</v>
      </c>
      <c r="T206" s="252">
        <f t="shared" si="74"/>
        <v>10007.059999999998</v>
      </c>
      <c r="U206" s="254">
        <f>STDEV(D$2:D206)*SQRT(252)</f>
        <v>0.1766804976423699</v>
      </c>
      <c r="V206" s="254">
        <f>STDEV(L$2:L206)*SQRT(252)</f>
        <v>0.37684312307903423</v>
      </c>
      <c r="W206" s="253">
        <f t="shared" si="71"/>
        <v>-0.36211646609079928</v>
      </c>
    </row>
    <row r="207" spans="2:23" ht="20.100000000000001" customHeight="1" x14ac:dyDescent="0.25">
      <c r="B207" s="246">
        <v>42530</v>
      </c>
      <c r="C207" s="247">
        <v>2115.48</v>
      </c>
      <c r="D207" s="172">
        <f t="shared" si="70"/>
        <v>-1.7176941371889619E-3</v>
      </c>
      <c r="E207" s="248">
        <f t="shared" si="63"/>
        <v>6.2023173075093528E-3</v>
      </c>
      <c r="F207" s="249">
        <v>4958.6099999999997</v>
      </c>
      <c r="G207" s="172">
        <f t="shared" si="64"/>
        <v>-3.2223437273854296E-3</v>
      </c>
      <c r="H207" s="250">
        <f t="shared" si="65"/>
        <v>-2.6138617750456655E-2</v>
      </c>
      <c r="I207" s="251">
        <v>343338.01</v>
      </c>
      <c r="J207" s="252">
        <v>400000</v>
      </c>
      <c r="K207" s="252">
        <f t="shared" si="66"/>
        <v>-2077.5499999999884</v>
      </c>
      <c r="L207" s="172">
        <f t="shared" si="72"/>
        <v>-6.0146392941881031E-3</v>
      </c>
      <c r="M207" s="253">
        <f t="shared" si="67"/>
        <v>-56661.989999999991</v>
      </c>
      <c r="N207" s="254">
        <f t="shared" si="62"/>
        <v>-0.14165497499999999</v>
      </c>
      <c r="O207" s="253" t="b">
        <f t="shared" si="68"/>
        <v>0</v>
      </c>
      <c r="P207" s="254">
        <f>COUNTIF(O$2:O207, TRUE)/(COUNTIF(O$2:O207,FALSE) + COUNTIF(O$2:O207, TRUE))</f>
        <v>0.49029126213592233</v>
      </c>
      <c r="Q207" s="252">
        <v>224600.69</v>
      </c>
      <c r="R207" s="252">
        <f t="shared" si="69"/>
        <v>118737.32</v>
      </c>
      <c r="S207" s="252">
        <v>-66856.5</v>
      </c>
      <c r="T207" s="252">
        <f t="shared" si="74"/>
        <v>10194.510000000009</v>
      </c>
      <c r="U207" s="254">
        <f>STDEV(D$2:D207)*SQRT(252)</f>
        <v>0.17625845275295093</v>
      </c>
      <c r="V207" s="254">
        <f>STDEV(L$2:L207)*SQRT(252)</f>
        <v>0.37597781518957712</v>
      </c>
      <c r="W207" s="253">
        <f t="shared" si="71"/>
        <v>-0.37676418468620049</v>
      </c>
    </row>
    <row r="208" spans="2:23" ht="20.100000000000001" customHeight="1" x14ac:dyDescent="0.25">
      <c r="B208" s="246">
        <v>42531</v>
      </c>
      <c r="C208" s="247">
        <v>2096.0700000000002</v>
      </c>
      <c r="D208" s="172">
        <f t="shared" si="70"/>
        <v>-9.1752226445061431E-3</v>
      </c>
      <c r="E208" s="248">
        <f t="shared" si="63"/>
        <v>-3.0298129792050619E-3</v>
      </c>
      <c r="F208" s="249">
        <v>4894.54</v>
      </c>
      <c r="G208" s="172">
        <f t="shared" si="64"/>
        <v>-1.2920959704433242E-2</v>
      </c>
      <c r="H208" s="250">
        <f t="shared" si="65"/>
        <v>-3.8721841428206664E-2</v>
      </c>
      <c r="I208" s="251">
        <v>332939.06</v>
      </c>
      <c r="J208" s="252">
        <v>400000</v>
      </c>
      <c r="K208" s="252">
        <f t="shared" si="66"/>
        <v>-10398.950000000012</v>
      </c>
      <c r="L208" s="172">
        <f t="shared" si="72"/>
        <v>-3.0287791322609493E-2</v>
      </c>
      <c r="M208" s="253">
        <f t="shared" si="67"/>
        <v>-67060.94</v>
      </c>
      <c r="N208" s="254">
        <f t="shared" si="62"/>
        <v>-0.16765235000000001</v>
      </c>
      <c r="O208" s="253" t="b">
        <f t="shared" si="68"/>
        <v>0</v>
      </c>
      <c r="P208" s="254">
        <f>COUNTIF(O$2:O208, TRUE)/(COUNTIF(O$2:O208,FALSE) + COUNTIF(O$2:O208, TRUE))</f>
        <v>0.48792270531400966</v>
      </c>
      <c r="Q208" s="252">
        <v>258667.11</v>
      </c>
      <c r="R208" s="252">
        <f t="shared" si="69"/>
        <v>74271.950000000012</v>
      </c>
      <c r="S208" s="252">
        <v>-76706.92</v>
      </c>
      <c r="T208" s="252">
        <f t="shared" si="74"/>
        <v>9645.9799999999959</v>
      </c>
      <c r="U208" s="254">
        <f>STDEV(D$2:D208)*SQRT(252)</f>
        <v>0.17612650252391751</v>
      </c>
      <c r="V208" s="254">
        <f>STDEV(L$2:L208)*SQRT(252)</f>
        <v>0.37655142178170292</v>
      </c>
      <c r="W208" s="253">
        <f t="shared" si="71"/>
        <v>-0.44523095731980167</v>
      </c>
    </row>
    <row r="209" spans="2:23" ht="20.100000000000001" customHeight="1" x14ac:dyDescent="0.25">
      <c r="B209" s="173">
        <v>42534</v>
      </c>
      <c r="C209" s="217">
        <v>2079.06</v>
      </c>
      <c r="D209" s="172">
        <f t="shared" si="70"/>
        <v>-8.1151869928009161E-3</v>
      </c>
      <c r="E209" s="211">
        <f t="shared" si="63"/>
        <v>-1.1120412473126515E-2</v>
      </c>
      <c r="F209" s="221">
        <v>4848.4399999999996</v>
      </c>
      <c r="G209" s="172">
        <f t="shared" si="64"/>
        <v>-9.4186583417441398E-3</v>
      </c>
      <c r="H209" s="205">
        <f t="shared" si="65"/>
        <v>-4.7775791975175327E-2</v>
      </c>
      <c r="I209" s="223">
        <v>329797.69</v>
      </c>
      <c r="J209" s="174">
        <v>400000</v>
      </c>
      <c r="K209" s="174">
        <f t="shared" si="66"/>
        <v>-3141.3699999999953</v>
      </c>
      <c r="L209" s="172">
        <f t="shared" si="72"/>
        <v>-9.4352702263290934E-3</v>
      </c>
      <c r="M209" s="184">
        <f t="shared" si="67"/>
        <v>-70202.31</v>
      </c>
      <c r="N209" s="186">
        <f t="shared" si="62"/>
        <v>-0.175505775</v>
      </c>
      <c r="O209" s="184" t="b">
        <f t="shared" si="68"/>
        <v>0</v>
      </c>
      <c r="P209" s="186">
        <f>COUNTIF(O$2:O209, TRUE)/(COUNTIF(O$2:O209,FALSE) + COUNTIF(O$2:O209, TRUE))</f>
        <v>0.48557692307692307</v>
      </c>
      <c r="Q209" s="174">
        <v>255528.93</v>
      </c>
      <c r="R209" s="174">
        <f t="shared" si="69"/>
        <v>74268.760000000009</v>
      </c>
      <c r="S209" s="174">
        <v>-78829.440000000002</v>
      </c>
      <c r="T209" s="174">
        <f t="shared" si="74"/>
        <v>8627.1300000000047</v>
      </c>
      <c r="U209" s="186">
        <f>STDEV(D$2:D209)*SQRT(252)</f>
        <v>0.17592912166326158</v>
      </c>
      <c r="V209" s="186">
        <f>STDEV(L$2:L209)*SQRT(252)</f>
        <v>0.3757757250288794</v>
      </c>
      <c r="W209" s="184">
        <f t="shared" si="71"/>
        <v>-0.4670492618609462</v>
      </c>
    </row>
    <row r="210" spans="2:23" ht="20.100000000000001" customHeight="1" x14ac:dyDescent="0.25">
      <c r="B210" s="173">
        <v>42535</v>
      </c>
      <c r="C210" s="217">
        <v>2075.3200000000002</v>
      </c>
      <c r="D210" s="172">
        <f t="shared" si="70"/>
        <v>-1.7988898829277566E-3</v>
      </c>
      <c r="E210" s="211">
        <f t="shared" si="63"/>
        <v>-1.2899297958562379E-2</v>
      </c>
      <c r="F210" s="221">
        <v>4843.55</v>
      </c>
      <c r="G210" s="172">
        <f t="shared" si="64"/>
        <v>-1.0085718292893008E-3</v>
      </c>
      <c r="H210" s="205">
        <f t="shared" si="65"/>
        <v>-4.8736178486556481E-2</v>
      </c>
      <c r="I210" s="223">
        <v>327192.19</v>
      </c>
      <c r="J210" s="174">
        <v>400000</v>
      </c>
      <c r="K210" s="174">
        <f t="shared" si="66"/>
        <v>-2605.5</v>
      </c>
      <c r="L210" s="172">
        <f t="shared" si="72"/>
        <v>-7.9002979068773949E-3</v>
      </c>
      <c r="M210" s="184">
        <f t="shared" si="67"/>
        <v>-72807.81</v>
      </c>
      <c r="N210" s="186">
        <f t="shared" si="62"/>
        <v>-0.18201952499999999</v>
      </c>
      <c r="O210" s="184" t="b">
        <f t="shared" si="68"/>
        <v>0</v>
      </c>
      <c r="P210" s="186">
        <f>COUNTIF(O$2:O210, TRUE)/(COUNTIF(O$2:O210,FALSE) + COUNTIF(O$2:O210, TRUE))</f>
        <v>0.48325358851674644</v>
      </c>
      <c r="Q210" s="174">
        <v>272585.19</v>
      </c>
      <c r="R210" s="174">
        <f t="shared" si="69"/>
        <v>54607</v>
      </c>
      <c r="S210" s="174">
        <v>-80356</v>
      </c>
      <c r="T210" s="174">
        <f t="shared" si="74"/>
        <v>7548.1900000000023</v>
      </c>
      <c r="U210" s="186">
        <f>STDEV(D$2:D210)*SQRT(252)</f>
        <v>0.17551491583407813</v>
      </c>
      <c r="V210" s="186">
        <f>STDEV(L$2:L210)*SQRT(252)</f>
        <v>0.37496263559037396</v>
      </c>
      <c r="W210" s="184">
        <f t="shared" si="71"/>
        <v>-0.48543376785639597</v>
      </c>
    </row>
    <row r="211" spans="2:23" ht="20.100000000000001" customHeight="1" x14ac:dyDescent="0.25">
      <c r="B211" s="173">
        <v>42536</v>
      </c>
      <c r="C211" s="217">
        <v>2071.5</v>
      </c>
      <c r="D211" s="172">
        <f t="shared" si="70"/>
        <v>-1.8406799915194588E-3</v>
      </c>
      <c r="E211" s="211">
        <f t="shared" si="63"/>
        <v>-1.4716234470424866E-2</v>
      </c>
      <c r="F211" s="221">
        <v>4834.93</v>
      </c>
      <c r="G211" s="172">
        <f t="shared" si="64"/>
        <v>-1.7796863870507976E-3</v>
      </c>
      <c r="H211" s="205">
        <f t="shared" si="65"/>
        <v>-5.042912976019788E-2</v>
      </c>
      <c r="I211" s="223">
        <v>325610.21000000002</v>
      </c>
      <c r="J211" s="174">
        <v>400000</v>
      </c>
      <c r="K211" s="174">
        <f t="shared" si="66"/>
        <v>-1581.9799999999814</v>
      </c>
      <c r="L211" s="172">
        <f t="shared" si="72"/>
        <v>-4.8350176084581403E-3</v>
      </c>
      <c r="M211" s="184">
        <f t="shared" si="67"/>
        <v>-74389.789999999979</v>
      </c>
      <c r="N211" s="186">
        <f t="shared" si="62"/>
        <v>-0.18597447499999994</v>
      </c>
      <c r="O211" s="184" t="b">
        <f t="shared" si="68"/>
        <v>0</v>
      </c>
      <c r="P211" s="186">
        <f>COUNTIF(O$2:O211, TRUE)/(COUNTIF(O$2:O211,FALSE) + COUNTIF(O$2:O211, TRUE))</f>
        <v>0.48095238095238096</v>
      </c>
      <c r="Q211" s="174">
        <v>269122.73</v>
      </c>
      <c r="R211" s="174">
        <f t="shared" si="69"/>
        <v>56487.48000000004</v>
      </c>
      <c r="S211" s="174">
        <v>-82018</v>
      </c>
      <c r="T211" s="174">
        <f t="shared" si="74"/>
        <v>7628.210000000021</v>
      </c>
      <c r="U211" s="186">
        <f>STDEV(D$2:D211)*SQRT(252)</f>
        <v>0.17510414280535444</v>
      </c>
      <c r="V211" s="186">
        <f>STDEV(L$2:L211)*SQRT(252)</f>
        <v>0.37409419523712373</v>
      </c>
      <c r="W211" s="184">
        <f t="shared" si="71"/>
        <v>-0.49713274722725376</v>
      </c>
    </row>
    <row r="212" spans="2:23" ht="20.100000000000001" customHeight="1" x14ac:dyDescent="0.25">
      <c r="B212" s="173">
        <v>42537</v>
      </c>
      <c r="C212" s="217">
        <v>2077.9899999999998</v>
      </c>
      <c r="D212" s="172">
        <f t="shared" si="70"/>
        <v>3.1329954139511377E-3</v>
      </c>
      <c r="E212" s="211">
        <f t="shared" si="63"/>
        <v>-1.1629344951580198E-2</v>
      </c>
      <c r="F212" s="221">
        <v>4844.91</v>
      </c>
      <c r="G212" s="172">
        <f t="shared" si="64"/>
        <v>2.0641457063493292E-3</v>
      </c>
      <c r="H212" s="205">
        <f t="shared" si="65"/>
        <v>-4.8469077125517991E-2</v>
      </c>
      <c r="I212" s="223">
        <v>321688.28999999998</v>
      </c>
      <c r="J212" s="174">
        <v>400000</v>
      </c>
      <c r="K212" s="174">
        <f t="shared" si="66"/>
        <v>-3921.9200000000419</v>
      </c>
      <c r="L212" s="172">
        <f t="shared" si="72"/>
        <v>-1.2044831149490188E-2</v>
      </c>
      <c r="M212" s="184">
        <f t="shared" si="67"/>
        <v>-78311.710000000021</v>
      </c>
      <c r="N212" s="186">
        <f t="shared" si="62"/>
        <v>-0.19577927500000006</v>
      </c>
      <c r="O212" s="184" t="b">
        <f t="shared" si="68"/>
        <v>0</v>
      </c>
      <c r="P212" s="186">
        <f>COUNTIF(O$2:O212, TRUE)/(COUNTIF(O$2:O212,FALSE) + COUNTIF(O$2:O212, TRUE))</f>
        <v>0.47867298578199052</v>
      </c>
      <c r="Q212" s="174">
        <v>270659.01</v>
      </c>
      <c r="R212" s="174">
        <f t="shared" si="69"/>
        <v>51029.27999999997</v>
      </c>
      <c r="S212" s="174">
        <v>-85365</v>
      </c>
      <c r="T212" s="174">
        <f t="shared" si="74"/>
        <v>7053.289999999979</v>
      </c>
      <c r="U212" s="186">
        <f>STDEV(D$2:D212)*SQRT(252)</f>
        <v>0.17471866463196331</v>
      </c>
      <c r="V212" s="186">
        <f>STDEV(L$2:L212)*SQRT(252)</f>
        <v>0.37342122618774559</v>
      </c>
      <c r="W212" s="184">
        <f t="shared" si="71"/>
        <v>-0.52428534124508441</v>
      </c>
    </row>
    <row r="213" spans="2:23" ht="20.100000000000001" customHeight="1" x14ac:dyDescent="0.25">
      <c r="B213" s="173">
        <v>42538</v>
      </c>
      <c r="C213" s="217">
        <v>2071.2199999999998</v>
      </c>
      <c r="D213" s="172">
        <f t="shared" si="70"/>
        <v>-3.2579560055630598E-3</v>
      </c>
      <c r="E213" s="211">
        <f t="shared" si="63"/>
        <v>-1.4849413062917493E-2</v>
      </c>
      <c r="F213" s="221">
        <v>4800.34</v>
      </c>
      <c r="G213" s="172">
        <f t="shared" si="64"/>
        <v>-9.1993452922757516E-3</v>
      </c>
      <c r="H213" s="205">
        <f t="shared" si="65"/>
        <v>-5.7222538641318162E-2</v>
      </c>
      <c r="I213" s="223">
        <v>328584.48</v>
      </c>
      <c r="J213" s="174">
        <v>400000</v>
      </c>
      <c r="K213" s="174">
        <f t="shared" si="66"/>
        <v>6896.1900000000023</v>
      </c>
      <c r="L213" s="172">
        <f t="shared" si="72"/>
        <v>2.1437491554324228E-2</v>
      </c>
      <c r="M213" s="184">
        <f t="shared" si="67"/>
        <v>-71415.520000000019</v>
      </c>
      <c r="N213" s="186">
        <f t="shared" si="62"/>
        <v>-0.17853880000000005</v>
      </c>
      <c r="O213" s="184" t="b">
        <f t="shared" si="68"/>
        <v>1</v>
      </c>
      <c r="P213" s="186">
        <f>COUNTIF(O$2:O213, TRUE)/(COUNTIF(O$2:O213,FALSE) + COUNTIF(O$2:O213, TRUE))</f>
        <v>0.48113207547169812</v>
      </c>
      <c r="Q213" s="174">
        <v>269293.38</v>
      </c>
      <c r="R213" s="174">
        <f t="shared" si="69"/>
        <v>59291.099999999977</v>
      </c>
      <c r="S213" s="174">
        <v>-78578</v>
      </c>
      <c r="T213" s="174">
        <f t="shared" si="74"/>
        <v>7162.4799999999814</v>
      </c>
      <c r="U213" s="186">
        <f>STDEV(D$2:D213)*SQRT(252)</f>
        <v>0.1743386358196137</v>
      </c>
      <c r="V213" s="186">
        <f>STDEV(L$2:L213)*SQRT(252)</f>
        <v>0.37328913049687473</v>
      </c>
      <c r="W213" s="184">
        <f t="shared" si="71"/>
        <v>-0.47828555779899629</v>
      </c>
    </row>
    <row r="214" spans="2:23" ht="20.100000000000001" customHeight="1" x14ac:dyDescent="0.25">
      <c r="B214" s="246">
        <v>42541</v>
      </c>
      <c r="C214" s="247">
        <v>2083.25</v>
      </c>
      <c r="D214" s="172">
        <f t="shared" si="70"/>
        <v>5.808171029634805E-3</v>
      </c>
      <c r="E214" s="248">
        <f t="shared" si="63"/>
        <v>-9.1274899640418055E-3</v>
      </c>
      <c r="F214" s="249">
        <v>4837.21</v>
      </c>
      <c r="G214" s="172">
        <f t="shared" si="64"/>
        <v>7.6807059499951853E-3</v>
      </c>
      <c r="H214" s="250">
        <f t="shared" si="65"/>
        <v>-4.9981342184339181E-2</v>
      </c>
      <c r="I214" s="251">
        <v>341742.75</v>
      </c>
      <c r="J214" s="252">
        <v>400000</v>
      </c>
      <c r="K214" s="252">
        <f t="shared" si="66"/>
        <v>13158.270000000019</v>
      </c>
      <c r="L214" s="172">
        <f t="shared" si="72"/>
        <v>4.0045318025976211E-2</v>
      </c>
      <c r="M214" s="253">
        <f t="shared" si="67"/>
        <v>-58257.25</v>
      </c>
      <c r="N214" s="254">
        <f t="shared" si="62"/>
        <v>-0.14564312500000001</v>
      </c>
      <c r="O214" s="253" t="b">
        <f t="shared" si="68"/>
        <v>1</v>
      </c>
      <c r="P214" s="254">
        <f>COUNTIF(O$2:O214, TRUE)/(COUNTIF(O$2:O214,FALSE) + COUNTIF(O$2:O214, TRUE))</f>
        <v>0.48356807511737088</v>
      </c>
      <c r="Q214" s="252">
        <v>253651.64</v>
      </c>
      <c r="R214" s="252">
        <f t="shared" si="69"/>
        <v>88091.109999999986</v>
      </c>
      <c r="S214" s="252">
        <v>-65989</v>
      </c>
      <c r="T214" s="252">
        <f t="shared" si="74"/>
        <v>7731.75</v>
      </c>
      <c r="U214" s="254">
        <f>STDEV(D$2:D214)*SQRT(252)</f>
        <v>0.1740406908760673</v>
      </c>
      <c r="V214" s="254">
        <f>STDEV(L$2:L214)*SQRT(252)</f>
        <v>0.37498171296802196</v>
      </c>
      <c r="W214" s="253">
        <f t="shared" si="71"/>
        <v>-0.38840060718486369</v>
      </c>
    </row>
    <row r="215" spans="2:23" ht="20.100000000000001" customHeight="1" x14ac:dyDescent="0.25">
      <c r="B215" s="246">
        <v>42542</v>
      </c>
      <c r="C215" s="247">
        <v>2088.9</v>
      </c>
      <c r="D215" s="172">
        <f t="shared" si="70"/>
        <v>2.7121084843394171E-3</v>
      </c>
      <c r="E215" s="248">
        <f t="shared" si="63"/>
        <v>-6.4401362226745888E-3</v>
      </c>
      <c r="F215" s="249">
        <v>4843.76</v>
      </c>
      <c r="G215" s="172">
        <f t="shared" si="64"/>
        <v>1.3540863431606611E-3</v>
      </c>
      <c r="H215" s="250">
        <f t="shared" si="65"/>
        <v>-4.8694934894043168E-2</v>
      </c>
      <c r="I215" s="251">
        <v>348811.35</v>
      </c>
      <c r="J215" s="252">
        <v>400000</v>
      </c>
      <c r="K215" s="252">
        <f t="shared" si="66"/>
        <v>7068.5999999999767</v>
      </c>
      <c r="L215" s="172">
        <f t="shared" si="72"/>
        <v>2.0683979396783039E-2</v>
      </c>
      <c r="M215" s="253">
        <f t="shared" si="67"/>
        <v>-51188.650000000023</v>
      </c>
      <c r="N215" s="254">
        <f t="shared" si="62"/>
        <v>-0.12797162500000006</v>
      </c>
      <c r="O215" s="253" t="b">
        <f t="shared" si="68"/>
        <v>1</v>
      </c>
      <c r="P215" s="254">
        <f>COUNTIF(O$2:O215, TRUE)/(COUNTIF(O$2:O215,FALSE) + COUNTIF(O$2:O215, TRUE))</f>
        <v>0.48598130841121495</v>
      </c>
      <c r="Q215" s="252">
        <v>239827.20000000001</v>
      </c>
      <c r="R215" s="252">
        <f t="shared" si="69"/>
        <v>108984.14999999997</v>
      </c>
      <c r="S215" s="252">
        <v>-59378</v>
      </c>
      <c r="T215" s="252">
        <f t="shared" si="74"/>
        <v>8189.3499999999767</v>
      </c>
      <c r="U215" s="254">
        <f>STDEV(D$2:D215)*SQRT(252)</f>
        <v>0.17365448408627729</v>
      </c>
      <c r="V215" s="254">
        <f>STDEV(L$2:L215)*SQRT(252)</f>
        <v>0.37477394701034494</v>
      </c>
      <c r="W215" s="253">
        <f t="shared" si="71"/>
        <v>-0.34146350358891847</v>
      </c>
    </row>
    <row r="216" spans="2:23" ht="20.100000000000001" customHeight="1" x14ac:dyDescent="0.25">
      <c r="B216" s="246">
        <v>42543</v>
      </c>
      <c r="C216" s="247">
        <v>2085.4499999999998</v>
      </c>
      <c r="D216" s="172">
        <f t="shared" si="70"/>
        <v>-1.6515869596439622E-3</v>
      </c>
      <c r="E216" s="248">
        <f t="shared" si="63"/>
        <v>-8.081086737314851E-3</v>
      </c>
      <c r="F216" s="249">
        <v>4833.3100000000004</v>
      </c>
      <c r="G216" s="172">
        <f t="shared" si="64"/>
        <v>-2.1574149008208123E-3</v>
      </c>
      <c r="H216" s="250">
        <f t="shared" si="65"/>
        <v>-5.0747294616729076E-2</v>
      </c>
      <c r="I216" s="251">
        <v>345838.5</v>
      </c>
      <c r="J216" s="252">
        <v>400000</v>
      </c>
      <c r="K216" s="252">
        <f t="shared" si="66"/>
        <v>-2972.8499999999767</v>
      </c>
      <c r="L216" s="172">
        <f t="shared" si="72"/>
        <v>-8.5228017952970192E-3</v>
      </c>
      <c r="M216" s="253">
        <f t="shared" si="67"/>
        <v>-54161.5</v>
      </c>
      <c r="N216" s="254">
        <f t="shared" si="62"/>
        <v>-0.13540374999999999</v>
      </c>
      <c r="O216" s="253" t="b">
        <f t="shared" si="68"/>
        <v>0</v>
      </c>
      <c r="P216" s="254">
        <f>COUNTIF(O$2:O216, TRUE)/(COUNTIF(O$2:O216,FALSE) + COUNTIF(O$2:O216, TRUE))</f>
        <v>0.48372093023255813</v>
      </c>
      <c r="Q216" s="252">
        <v>250911.65</v>
      </c>
      <c r="R216" s="252">
        <f t="shared" si="69"/>
        <v>94926.85</v>
      </c>
      <c r="S216" s="252">
        <v>-62340</v>
      </c>
      <c r="T216" s="252">
        <f t="shared" si="74"/>
        <v>8178.5</v>
      </c>
      <c r="U216" s="254">
        <f>STDEV(D$2:D216)*SQRT(252)</f>
        <v>0.17325596668423277</v>
      </c>
      <c r="V216" s="254">
        <f>STDEV(L$2:L216)*SQRT(252)</f>
        <v>0.37400942044017926</v>
      </c>
      <c r="W216" s="253">
        <f t="shared" si="71"/>
        <v>-0.36203299328835242</v>
      </c>
    </row>
    <row r="217" spans="2:23" ht="20.100000000000001" customHeight="1" x14ac:dyDescent="0.25">
      <c r="B217" s="246">
        <v>42544</v>
      </c>
      <c r="C217" s="247">
        <v>2113.3200000000002</v>
      </c>
      <c r="D217" s="172">
        <f t="shared" si="70"/>
        <v>1.3364022153492219E-2</v>
      </c>
      <c r="E217" s="248">
        <f t="shared" si="63"/>
        <v>5.1749395939956E-3</v>
      </c>
      <c r="F217" s="249">
        <v>4910.04</v>
      </c>
      <c r="G217" s="172">
        <f t="shared" si="64"/>
        <v>1.5875249052926369E-2</v>
      </c>
      <c r="H217" s="250">
        <f t="shared" si="65"/>
        <v>-3.5677671504605504E-2</v>
      </c>
      <c r="I217" s="251">
        <v>355595.65</v>
      </c>
      <c r="J217" s="252">
        <v>400000</v>
      </c>
      <c r="K217" s="252">
        <f t="shared" si="66"/>
        <v>9757.1500000000233</v>
      </c>
      <c r="L217" s="172">
        <f t="shared" si="72"/>
        <v>2.8213024287348065E-2</v>
      </c>
      <c r="M217" s="253">
        <f t="shared" si="67"/>
        <v>-44404.349999999977</v>
      </c>
      <c r="N217" s="254">
        <f t="shared" si="62"/>
        <v>-0.11101087499999994</v>
      </c>
      <c r="O217" s="253" t="b">
        <f t="shared" si="68"/>
        <v>1</v>
      </c>
      <c r="P217" s="254">
        <f>COUNTIF(O$2:O217, TRUE)/(COUNTIF(O$2:O217,FALSE) + COUNTIF(O$2:O217, TRUE))</f>
        <v>0.4861111111111111</v>
      </c>
      <c r="Q217" s="252">
        <v>222188.6</v>
      </c>
      <c r="R217" s="252">
        <f t="shared" si="69"/>
        <v>133407.05000000002</v>
      </c>
      <c r="S217" s="252">
        <v>-52883</v>
      </c>
      <c r="T217" s="252">
        <f t="shared" si="74"/>
        <v>8478.6500000000233</v>
      </c>
      <c r="U217" s="254">
        <f>STDEV(D$2:D217)*SQRT(252)</f>
        <v>0.17345322733352617</v>
      </c>
      <c r="V217" s="254">
        <f>STDEV(L$2:L217)*SQRT(252)</f>
        <v>0.37437996728891731</v>
      </c>
      <c r="W217" s="253">
        <f t="shared" si="71"/>
        <v>-0.29651927106006287</v>
      </c>
    </row>
    <row r="218" spans="2:23" ht="20.100000000000001" customHeight="1" x14ac:dyDescent="0.25">
      <c r="B218" s="246">
        <v>42545</v>
      </c>
      <c r="C218" s="247">
        <v>2037.3</v>
      </c>
      <c r="D218" s="172">
        <f t="shared" si="70"/>
        <v>-3.5971835784452996E-2</v>
      </c>
      <c r="E218" s="248">
        <f t="shared" si="63"/>
        <v>-3.0983048267727069E-2</v>
      </c>
      <c r="F218" s="249">
        <v>4707.9799999999996</v>
      </c>
      <c r="G218" s="172">
        <f t="shared" si="64"/>
        <v>-4.1152414236951311E-2</v>
      </c>
      <c r="H218" s="250">
        <f t="shared" si="65"/>
        <v>-7.5361863424789413E-2</v>
      </c>
      <c r="I218" s="251">
        <v>344597.21</v>
      </c>
      <c r="J218" s="252">
        <v>400000</v>
      </c>
      <c r="K218" s="252">
        <f t="shared" si="66"/>
        <v>-10998.440000000002</v>
      </c>
      <c r="L218" s="172">
        <f t="shared" si="72"/>
        <v>-3.092962470153952E-2</v>
      </c>
      <c r="M218" s="253">
        <f t="shared" si="67"/>
        <v>-55402.789999999979</v>
      </c>
      <c r="N218" s="254">
        <f t="shared" si="62"/>
        <v>-0.13850697499999995</v>
      </c>
      <c r="O218" s="253" t="b">
        <f t="shared" si="68"/>
        <v>1</v>
      </c>
      <c r="P218" s="254">
        <f>COUNTIF(O$2:O218, TRUE)/(COUNTIF(O$2:O218,FALSE) + COUNTIF(O$2:O218, TRUE))</f>
        <v>0.48847926267281105</v>
      </c>
      <c r="Q218" s="252">
        <v>292212.87</v>
      </c>
      <c r="R218" s="252">
        <f t="shared" si="69"/>
        <v>52384.340000000026</v>
      </c>
      <c r="S218" s="252">
        <v>-60319</v>
      </c>
      <c r="T218" s="252">
        <f t="shared" si="74"/>
        <v>4916.210000000021</v>
      </c>
      <c r="U218" s="254">
        <f>STDEV(D$2:D218)*SQRT(252)</f>
        <v>0.17737738991567559</v>
      </c>
      <c r="V218" s="254">
        <f>STDEV(L$2:L218)*SQRT(252)</f>
        <v>0.37501491948250398</v>
      </c>
      <c r="W218" s="253">
        <f t="shared" si="71"/>
        <v>-0.36933723914539318</v>
      </c>
    </row>
    <row r="219" spans="2:23" ht="20.100000000000001" customHeight="1" x14ac:dyDescent="0.25">
      <c r="B219" s="173">
        <v>42548</v>
      </c>
      <c r="C219" s="217">
        <v>2000.54</v>
      </c>
      <c r="D219" s="172">
        <f t="shared" si="70"/>
        <v>-1.8043488931428847E-2</v>
      </c>
      <c r="E219" s="211">
        <f t="shared" si="63"/>
        <v>-4.8467494910675257E-2</v>
      </c>
      <c r="F219" s="221">
        <v>4594.4399999999996</v>
      </c>
      <c r="G219" s="172">
        <f t="shared" si="64"/>
        <v>-2.4116500070093749E-2</v>
      </c>
      <c r="H219" s="205">
        <f t="shared" si="65"/>
        <v>-9.7660899110316834E-2</v>
      </c>
      <c r="I219" s="223">
        <v>328090.52</v>
      </c>
      <c r="J219" s="174">
        <v>400000</v>
      </c>
      <c r="K219" s="174">
        <f t="shared" si="66"/>
        <v>-16506.690000000002</v>
      </c>
      <c r="L219" s="172">
        <f t="shared" si="72"/>
        <v>-4.7901403496563424E-2</v>
      </c>
      <c r="M219" s="184">
        <f t="shared" si="67"/>
        <v>-71909.479999999981</v>
      </c>
      <c r="N219" s="186">
        <f t="shared" si="62"/>
        <v>-0.17977369999999995</v>
      </c>
      <c r="O219" s="184" t="b">
        <f t="shared" si="68"/>
        <v>0</v>
      </c>
      <c r="P219" s="186">
        <f>COUNTIF(O$2:O219, TRUE)/(COUNTIF(O$2:O219,FALSE) + COUNTIF(O$2:O219, TRUE))</f>
        <v>0.48623853211009177</v>
      </c>
      <c r="Q219" s="174">
        <v>330827.23</v>
      </c>
      <c r="R219" s="174">
        <f t="shared" si="69"/>
        <v>-2736.7099999999627</v>
      </c>
      <c r="S219" s="174">
        <v>-73004</v>
      </c>
      <c r="T219" s="174">
        <f t="shared" si="74"/>
        <v>1094.5200000000186</v>
      </c>
      <c r="U219" s="186">
        <f>STDEV(D$2:D219)*SQRT(252)</f>
        <v>0.17802153758815042</v>
      </c>
      <c r="V219" s="186">
        <f>STDEV(L$2:L219)*SQRT(252)</f>
        <v>0.37769251793384978</v>
      </c>
      <c r="W219" s="184">
        <f t="shared" si="71"/>
        <v>-0.47597898148325529</v>
      </c>
    </row>
    <row r="220" spans="2:23" ht="20.100000000000001" customHeight="1" x14ac:dyDescent="0.25">
      <c r="B220" s="173">
        <v>42549</v>
      </c>
      <c r="C220" s="217">
        <v>2036.09</v>
      </c>
      <c r="D220" s="172">
        <f t="shared" si="70"/>
        <v>1.7770202045447707E-2</v>
      </c>
      <c r="E220" s="211">
        <f t="shared" si="63"/>
        <v>-3.1558570042426959E-2</v>
      </c>
      <c r="F220" s="221">
        <v>4691.8599999999997</v>
      </c>
      <c r="G220" s="172">
        <f t="shared" si="64"/>
        <v>2.1203889919119649E-2</v>
      </c>
      <c r="H220" s="205">
        <f t="shared" si="65"/>
        <v>-7.85278001453346E-2</v>
      </c>
      <c r="I220" s="223">
        <v>347315.97</v>
      </c>
      <c r="J220" s="174">
        <v>400000</v>
      </c>
      <c r="K220" s="174">
        <f t="shared" si="66"/>
        <v>19225.449999999953</v>
      </c>
      <c r="L220" s="172">
        <f t="shared" ref="L220:L247" si="75">K220/I219</f>
        <v>5.8598005209050091E-2</v>
      </c>
      <c r="M220" s="184">
        <f t="shared" si="67"/>
        <v>-52684.030000000028</v>
      </c>
      <c r="N220" s="186">
        <f t="shared" si="62"/>
        <v>-0.13171007500000007</v>
      </c>
      <c r="O220" s="184" t="b">
        <f t="shared" si="68"/>
        <v>1</v>
      </c>
      <c r="P220" s="186">
        <f>COUNTIF(O$2:O220, TRUE)/(COUNTIF(O$2:O220,FALSE) + COUNTIF(O$2:O220, TRUE))</f>
        <v>0.48858447488584472</v>
      </c>
      <c r="Q220" s="174">
        <v>324005.03999999998</v>
      </c>
      <c r="R220" s="174">
        <f t="shared" si="69"/>
        <v>23310.929999999993</v>
      </c>
      <c r="S220" s="174">
        <v>-57120</v>
      </c>
      <c r="T220" s="174">
        <f t="shared" si="74"/>
        <v>4435.9699999999721</v>
      </c>
      <c r="U220" s="186">
        <f>STDEV(D$2:D220)*SQRT(252)</f>
        <v>0.17865473175577545</v>
      </c>
      <c r="V220" s="186">
        <f>STDEV(L$2:L220)*SQRT(252)</f>
        <v>0.38208789279178124</v>
      </c>
      <c r="W220" s="184">
        <f t="shared" si="71"/>
        <v>-0.34471145902488842</v>
      </c>
    </row>
    <row r="221" spans="2:23" ht="20.100000000000001" customHeight="1" x14ac:dyDescent="0.25">
      <c r="B221" s="173">
        <v>42550</v>
      </c>
      <c r="C221" s="217">
        <v>2070.77</v>
      </c>
      <c r="D221" s="172">
        <f t="shared" si="70"/>
        <v>1.7032645904650614E-2</v>
      </c>
      <c r="E221" s="211">
        <f t="shared" si="63"/>
        <v>-1.506345008656612E-2</v>
      </c>
      <c r="F221" s="221">
        <v>4779.24</v>
      </c>
      <c r="G221" s="172">
        <f t="shared" si="64"/>
        <v>1.8623744101486428E-2</v>
      </c>
      <c r="H221" s="205">
        <f t="shared" si="65"/>
        <v>-6.1366537698607546E-2</v>
      </c>
      <c r="I221" s="223">
        <v>354799.59</v>
      </c>
      <c r="J221" s="174">
        <v>400000</v>
      </c>
      <c r="K221" s="174">
        <f t="shared" si="66"/>
        <v>7483.6200000000536</v>
      </c>
      <c r="L221" s="172">
        <f t="shared" si="75"/>
        <v>2.154700804572866E-2</v>
      </c>
      <c r="M221" s="184">
        <f t="shared" si="67"/>
        <v>-45200.409999999974</v>
      </c>
      <c r="N221" s="186">
        <f t="shared" si="62"/>
        <v>-0.11300102499999994</v>
      </c>
      <c r="O221" s="184" t="b">
        <f t="shared" si="68"/>
        <v>1</v>
      </c>
      <c r="P221" s="186">
        <f>COUNTIF(O$2:O221, TRUE)/(COUNTIF(O$2:O221,FALSE) + COUNTIF(O$2:O221, TRUE))</f>
        <v>0.49090909090909091</v>
      </c>
      <c r="Q221" s="174">
        <v>321658.87</v>
      </c>
      <c r="R221" s="174">
        <f t="shared" si="69"/>
        <v>33140.72000000003</v>
      </c>
      <c r="S221" s="174">
        <v>-52035</v>
      </c>
      <c r="T221" s="174">
        <f t="shared" si="74"/>
        <v>6834.5900000000256</v>
      </c>
      <c r="U221" s="186">
        <f>STDEV(D$2:D221)*SQRT(252)</f>
        <v>0.17918768492627107</v>
      </c>
      <c r="V221" s="186">
        <f>STDEV(L$2:L221)*SQRT(252)</f>
        <v>0.38190631702856759</v>
      </c>
      <c r="W221" s="184">
        <f t="shared" si="71"/>
        <v>-0.29588676584144369</v>
      </c>
    </row>
    <row r="222" spans="2:23" ht="20.100000000000001" customHeight="1" x14ac:dyDescent="0.25">
      <c r="B222" s="173">
        <v>42551</v>
      </c>
      <c r="C222" s="217">
        <v>2098.86</v>
      </c>
      <c r="D222" s="172">
        <f t="shared" si="70"/>
        <v>1.3565002390415229E-2</v>
      </c>
      <c r="E222" s="211">
        <f t="shared" si="63"/>
        <v>-1.7027834325830592E-3</v>
      </c>
      <c r="F222" s="221">
        <v>4842.67</v>
      </c>
      <c r="G222" s="172">
        <f t="shared" si="64"/>
        <v>1.3271984667018248E-2</v>
      </c>
      <c r="H222" s="205">
        <f t="shared" si="65"/>
        <v>-4.8909008778993214E-2</v>
      </c>
      <c r="I222" s="483">
        <v>358404.16</v>
      </c>
      <c r="J222" s="174">
        <v>400000</v>
      </c>
      <c r="K222" s="174">
        <f t="shared" si="66"/>
        <v>3604.5699999999488</v>
      </c>
      <c r="L222" s="172">
        <f t="shared" si="75"/>
        <v>1.0159453679188154E-2</v>
      </c>
      <c r="M222" s="184">
        <f t="shared" si="67"/>
        <v>-41595.840000000026</v>
      </c>
      <c r="N222" s="186">
        <f t="shared" ref="N222:N253" si="76">M222/J222</f>
        <v>-0.10398960000000007</v>
      </c>
      <c r="O222" s="184" t="b">
        <f t="shared" si="68"/>
        <v>0</v>
      </c>
      <c r="P222" s="186">
        <f>COUNTIF(O$2:O222, TRUE)/(COUNTIF(O$2:O222,FALSE) + COUNTIF(O$2:O222, TRUE))</f>
        <v>0.48868778280542985</v>
      </c>
      <c r="Q222" s="174">
        <v>320795.08</v>
      </c>
      <c r="R222" s="174">
        <f t="shared" si="69"/>
        <v>37609.079999999958</v>
      </c>
      <c r="S222" s="174">
        <v>-50056</v>
      </c>
      <c r="T222" s="174">
        <f t="shared" si="74"/>
        <v>8460.1599999999744</v>
      </c>
      <c r="U222" s="186">
        <f>STDEV(D$2:D222)*SQRT(252)</f>
        <v>0.17936712847918884</v>
      </c>
      <c r="V222" s="186">
        <f>STDEV(L$2:L222)*SQRT(252)</f>
        <v>0.38118352520471832</v>
      </c>
      <c r="W222" s="184">
        <f t="shared" si="71"/>
        <v>-0.27280717324850662</v>
      </c>
    </row>
    <row r="223" spans="2:23" ht="20.100000000000001" customHeight="1" x14ac:dyDescent="0.25">
      <c r="B223" s="173">
        <v>42552</v>
      </c>
      <c r="C223" s="217">
        <v>2102.9499999999998</v>
      </c>
      <c r="D223" s="172">
        <f t="shared" si="70"/>
        <v>1.9486769007936169E-3</v>
      </c>
      <c r="E223" s="211">
        <f t="shared" si="63"/>
        <v>2.4257529346842884E-4</v>
      </c>
      <c r="F223" s="221">
        <v>4862.59</v>
      </c>
      <c r="G223" s="172">
        <f t="shared" si="64"/>
        <v>4.1134332919649848E-3</v>
      </c>
      <c r="H223" s="205">
        <f t="shared" si="65"/>
        <v>-4.4996759432016746E-2</v>
      </c>
      <c r="I223" s="223">
        <v>358860.97</v>
      </c>
      <c r="J223" s="174">
        <v>400000</v>
      </c>
      <c r="K223" s="174">
        <f t="shared" si="66"/>
        <v>456.80999999999767</v>
      </c>
      <c r="L223" s="172">
        <f t="shared" si="75"/>
        <v>1.2745666791367535E-3</v>
      </c>
      <c r="M223" s="184">
        <f t="shared" si="67"/>
        <v>-41139.030000000028</v>
      </c>
      <c r="N223" s="186">
        <f t="shared" si="76"/>
        <v>-0.10284757500000007</v>
      </c>
      <c r="O223" s="184" t="b">
        <f t="shared" si="68"/>
        <v>0</v>
      </c>
      <c r="P223" s="186">
        <f>COUNTIF(O$2:O223, TRUE)/(COUNTIF(O$2:O223,FALSE) + COUNTIF(O$2:O223, TRUE))</f>
        <v>0.48648648648648651</v>
      </c>
      <c r="Q223" s="174">
        <v>272845.65000000002</v>
      </c>
      <c r="R223" s="174">
        <f t="shared" si="69"/>
        <v>86015.319999999949</v>
      </c>
      <c r="S223" s="174">
        <v>-51775</v>
      </c>
      <c r="T223" s="174">
        <f t="shared" si="74"/>
        <v>10635.969999999972</v>
      </c>
      <c r="U223" s="186">
        <f>STDEV(D$2:D223)*SQRT(252)</f>
        <v>0.17897042454940121</v>
      </c>
      <c r="V223" s="186">
        <f>STDEV(L$2:L223)*SQRT(252)</f>
        <v>0.3803179125579893</v>
      </c>
      <c r="W223" s="184">
        <f t="shared" si="71"/>
        <v>-0.27042527213155731</v>
      </c>
    </row>
    <row r="224" spans="2:23" ht="20.100000000000001" customHeight="1" x14ac:dyDescent="0.25">
      <c r="B224" s="246">
        <v>42556</v>
      </c>
      <c r="C224" s="247">
        <v>2088.5500000000002</v>
      </c>
      <c r="D224" s="172">
        <f t="shared" si="70"/>
        <v>-6.847523716683534E-3</v>
      </c>
      <c r="E224" s="248">
        <f t="shared" ref="E224:E255" si="77">(C224-$C$2)/$C$2</f>
        <v>-6.6066094632902111E-3</v>
      </c>
      <c r="F224" s="249">
        <v>4822.8999999999996</v>
      </c>
      <c r="G224" s="172">
        <f t="shared" si="64"/>
        <v>-8.1623167900235286E-3</v>
      </c>
      <c r="H224" s="250">
        <f t="shared" ref="H224:H255" si="78">(F224-F$2)/F$2</f>
        <v>-5.2791798417031674E-2</v>
      </c>
      <c r="I224" s="251">
        <v>346939.19</v>
      </c>
      <c r="J224" s="252">
        <v>400000</v>
      </c>
      <c r="K224" s="252">
        <f t="shared" ref="K224:K255" si="79">I224-I223-J224+J223</f>
        <v>-11921.77999999997</v>
      </c>
      <c r="L224" s="172">
        <f t="shared" si="75"/>
        <v>-3.3221166403245163E-2</v>
      </c>
      <c r="M224" s="253">
        <f t="shared" ref="M224:M253" si="80">I224-J224</f>
        <v>-53060.81</v>
      </c>
      <c r="N224" s="254">
        <f t="shared" si="76"/>
        <v>-0.13265202500000001</v>
      </c>
      <c r="O224" s="253" t="b">
        <f t="shared" ref="O224:O255" si="81">L224&gt;D224</f>
        <v>0</v>
      </c>
      <c r="P224" s="254">
        <f>COUNTIF(O$2:O224, TRUE)/(COUNTIF(O$2:O224,FALSE) + COUNTIF(O$2:O224, TRUE))</f>
        <v>0.48430493273542602</v>
      </c>
      <c r="Q224" s="252">
        <v>313798.31</v>
      </c>
      <c r="R224" s="252">
        <f t="shared" si="69"/>
        <v>33140.880000000005</v>
      </c>
      <c r="S224" s="252">
        <v>-60102</v>
      </c>
      <c r="T224" s="252">
        <f t="shared" si="74"/>
        <v>7041.1900000000023</v>
      </c>
      <c r="U224" s="254">
        <f>STDEV(D$2:D224)*SQRT(252)</f>
        <v>0.1787168459746149</v>
      </c>
      <c r="V224" s="254">
        <f>STDEV(L$2:L224)*SQRT(252)</f>
        <v>0.38112496311245453</v>
      </c>
      <c r="W224" s="253">
        <f t="shared" si="71"/>
        <v>-0.34805388740925841</v>
      </c>
    </row>
    <row r="225" spans="2:23" ht="20.100000000000001" customHeight="1" x14ac:dyDescent="0.25">
      <c r="B225" s="246">
        <v>42557</v>
      </c>
      <c r="C225" s="247">
        <v>2088.5500000000002</v>
      </c>
      <c r="D225" s="172">
        <f t="shared" si="70"/>
        <v>0</v>
      </c>
      <c r="E225" s="248">
        <f t="shared" si="77"/>
        <v>-6.6066094632902111E-3</v>
      </c>
      <c r="F225" s="249">
        <v>4859.16</v>
      </c>
      <c r="G225" s="172">
        <f t="shared" si="64"/>
        <v>7.5182981193887954E-3</v>
      </c>
      <c r="H225" s="250">
        <f t="shared" si="78"/>
        <v>-4.5670404776400803E-2</v>
      </c>
      <c r="I225" s="251">
        <v>347494.51</v>
      </c>
      <c r="J225" s="252">
        <v>400000</v>
      </c>
      <c r="K225" s="252">
        <f t="shared" si="79"/>
        <v>555.32000000000698</v>
      </c>
      <c r="L225" s="172">
        <f t="shared" si="75"/>
        <v>1.6006263230164543E-3</v>
      </c>
      <c r="M225" s="253">
        <f t="shared" si="80"/>
        <v>-52505.489999999991</v>
      </c>
      <c r="N225" s="254">
        <f t="shared" si="76"/>
        <v>-0.13126372499999997</v>
      </c>
      <c r="O225" s="253" t="b">
        <f t="shared" si="81"/>
        <v>1</v>
      </c>
      <c r="P225" s="254">
        <f>COUNTIF(O$2:O225, TRUE)/(COUNTIF(O$2:O225,FALSE) + COUNTIF(O$2:O225, TRUE))</f>
        <v>0.48660714285714285</v>
      </c>
      <c r="Q225" s="252">
        <v>315793.82</v>
      </c>
      <c r="R225" s="252">
        <f t="shared" si="69"/>
        <v>31700.690000000002</v>
      </c>
      <c r="S225" s="252">
        <v>-60101</v>
      </c>
      <c r="T225" s="252">
        <f t="shared" si="74"/>
        <v>7595.5100000000093</v>
      </c>
      <c r="U225" s="254">
        <f>STDEV(D$2:D225)*SQRT(252)</f>
        <v>0.17831387977448732</v>
      </c>
      <c r="V225" s="254">
        <f>STDEV(L$2:L225)*SQRT(252)</f>
        <v>0.38026911407606601</v>
      </c>
      <c r="W225" s="253">
        <f t="shared" si="71"/>
        <v>-0.3451863960051802</v>
      </c>
    </row>
    <row r="226" spans="2:23" ht="20.100000000000001" customHeight="1" x14ac:dyDescent="0.25">
      <c r="B226" s="246">
        <v>42558</v>
      </c>
      <c r="C226" s="247">
        <v>2088.5500000000002</v>
      </c>
      <c r="D226" s="172">
        <f t="shared" si="70"/>
        <v>0</v>
      </c>
      <c r="E226" s="248">
        <f t="shared" si="77"/>
        <v>-6.6066094632902111E-3</v>
      </c>
      <c r="F226" s="249">
        <v>4876.8</v>
      </c>
      <c r="G226" s="172">
        <f t="shared" si="64"/>
        <v>3.630257081470939E-3</v>
      </c>
      <c r="H226" s="250">
        <f t="shared" si="78"/>
        <v>-4.2205943005283041E-2</v>
      </c>
      <c r="I226" s="251">
        <v>350011.84</v>
      </c>
      <c r="J226" s="252">
        <v>400000</v>
      </c>
      <c r="K226" s="252">
        <f t="shared" si="79"/>
        <v>2517.3300000000163</v>
      </c>
      <c r="L226" s="172">
        <f t="shared" si="75"/>
        <v>7.2442295563173538E-3</v>
      </c>
      <c r="M226" s="253">
        <f t="shared" si="80"/>
        <v>-49988.159999999974</v>
      </c>
      <c r="N226" s="254">
        <f t="shared" si="76"/>
        <v>-0.12497039999999994</v>
      </c>
      <c r="O226" s="253" t="b">
        <f t="shared" si="81"/>
        <v>1</v>
      </c>
      <c r="P226" s="254">
        <f>COUNTIF(O$2:O226, TRUE)/(COUNTIF(O$2:O226,FALSE) + COUNTIF(O$2:O226, TRUE))</f>
        <v>0.48888888888888887</v>
      </c>
      <c r="Q226" s="252">
        <v>315794.82</v>
      </c>
      <c r="R226" s="252">
        <f t="shared" si="69"/>
        <v>34217.020000000019</v>
      </c>
      <c r="S226" s="252">
        <v>-60100</v>
      </c>
      <c r="T226" s="252">
        <f t="shared" si="74"/>
        <v>10111.840000000026</v>
      </c>
      <c r="U226" s="254">
        <f>STDEV(D$2:D226)*SQRT(252)</f>
        <v>0.17791362713368658</v>
      </c>
      <c r="V226" s="254">
        <f>STDEV(L$2:L226)*SQRT(252)</f>
        <v>0.3794918182893931</v>
      </c>
      <c r="W226" s="253">
        <f t="shared" si="71"/>
        <v>-0.32930986645066468</v>
      </c>
    </row>
    <row r="227" spans="2:23" ht="20.100000000000001" customHeight="1" x14ac:dyDescent="0.25">
      <c r="B227" s="246">
        <v>42559</v>
      </c>
      <c r="C227" s="247">
        <v>2088.5500000000002</v>
      </c>
      <c r="D227" s="172">
        <f t="shared" si="70"/>
        <v>0</v>
      </c>
      <c r="E227" s="248">
        <f t="shared" si="77"/>
        <v>-6.6066094632902111E-3</v>
      </c>
      <c r="F227" s="249">
        <v>4956.75</v>
      </c>
      <c r="G227" s="172">
        <f t="shared" si="64"/>
        <v>1.6393946850393661E-2</v>
      </c>
      <c r="H227" s="250">
        <f t="shared" si="78"/>
        <v>-2.6503918141288729E-2</v>
      </c>
      <c r="I227" s="251">
        <f>356591.17-44.77</f>
        <v>356546.39999999997</v>
      </c>
      <c r="J227" s="252">
        <v>400000</v>
      </c>
      <c r="K227" s="252">
        <f t="shared" si="79"/>
        <v>6534.5599999999395</v>
      </c>
      <c r="L227" s="172">
        <f t="shared" si="75"/>
        <v>1.8669539864708401E-2</v>
      </c>
      <c r="M227" s="253">
        <f t="shared" si="80"/>
        <v>-43453.600000000035</v>
      </c>
      <c r="N227" s="254">
        <f t="shared" si="76"/>
        <v>-0.10863400000000009</v>
      </c>
      <c r="O227" s="253" t="b">
        <f t="shared" si="81"/>
        <v>1</v>
      </c>
      <c r="P227" s="254">
        <f>COUNTIF(O$2:O227, TRUE)/(COUNTIF(O$2:O227,FALSE) + COUNTIF(O$2:O227, TRUE))</f>
        <v>0.49115044247787609</v>
      </c>
      <c r="Q227" s="252">
        <v>317292.78000000003</v>
      </c>
      <c r="R227" s="252">
        <f t="shared" si="69"/>
        <v>39253.619999999937</v>
      </c>
      <c r="S227" s="252">
        <v>-54317</v>
      </c>
      <c r="T227" s="252">
        <f t="shared" si="74"/>
        <v>10863.399999999965</v>
      </c>
      <c r="U227" s="254">
        <f>STDEV(D$2:D227)*SQRT(252)</f>
        <v>0.17751605773328505</v>
      </c>
      <c r="V227" s="254">
        <f>STDEV(L$2:L227)*SQRT(252)</f>
        <v>0.37915328642285256</v>
      </c>
      <c r="W227" s="253">
        <f t="shared" si="71"/>
        <v>-0.28651736353102708</v>
      </c>
    </row>
    <row r="228" spans="2:23" ht="20.100000000000001" customHeight="1" x14ac:dyDescent="0.25">
      <c r="B228" s="173">
        <v>42562</v>
      </c>
      <c r="C228" s="217">
        <v>2137.16</v>
      </c>
      <c r="D228" s="172">
        <f t="shared" si="70"/>
        <v>2.3274520600416397E-2</v>
      </c>
      <c r="E228" s="211">
        <f t="shared" si="77"/>
        <v>1.6514145469073933E-2</v>
      </c>
      <c r="F228" s="221">
        <v>4988.63</v>
      </c>
      <c r="G228" s="172">
        <f t="shared" si="64"/>
        <v>6.4316336309073706E-3</v>
      </c>
      <c r="H228" s="205">
        <f t="shared" si="78"/>
        <v>-2.0242748001649689E-2</v>
      </c>
      <c r="I228" s="223">
        <v>356544.06</v>
      </c>
      <c r="J228" s="174">
        <v>400000</v>
      </c>
      <c r="K228" s="174">
        <f t="shared" si="79"/>
        <v>-2.3399999999674037</v>
      </c>
      <c r="L228" s="172">
        <f t="shared" si="75"/>
        <v>-6.5629606692632545E-6</v>
      </c>
      <c r="M228" s="184">
        <f t="shared" si="80"/>
        <v>-43455.94</v>
      </c>
      <c r="N228" s="186">
        <f t="shared" si="76"/>
        <v>-0.10863985000000001</v>
      </c>
      <c r="O228" s="184" t="b">
        <f t="shared" si="81"/>
        <v>0</v>
      </c>
      <c r="P228" s="186">
        <f>COUNTIF(O$2:O228, TRUE)/(COUNTIF(O$2:O228,FALSE) + COUNTIF(O$2:O228, TRUE))</f>
        <v>0.48898678414096919</v>
      </c>
      <c r="Q228" s="174">
        <v>315114.71999999997</v>
      </c>
      <c r="R228" s="174">
        <f t="shared" si="69"/>
        <v>41429.340000000026</v>
      </c>
      <c r="S228" s="174">
        <v>-55783</v>
      </c>
      <c r="T228" s="174">
        <f t="shared" si="74"/>
        <v>12327.059999999998</v>
      </c>
      <c r="U228" s="186">
        <f>STDEV(D$2:D228)*SQRT(252)</f>
        <v>0.17881334891320599</v>
      </c>
      <c r="V228" s="186">
        <f>STDEV(L$2:L228)*SQRT(252)</f>
        <v>0.37830983950867753</v>
      </c>
      <c r="W228" s="184">
        <f t="shared" si="71"/>
        <v>-0.28717162139132801</v>
      </c>
    </row>
    <row r="229" spans="2:23" ht="20.100000000000001" customHeight="1" x14ac:dyDescent="0.25">
      <c r="B229" s="173">
        <v>42563</v>
      </c>
      <c r="C229" s="217">
        <v>2152.14</v>
      </c>
      <c r="D229" s="172">
        <f t="shared" si="70"/>
        <v>7.0093020644219524E-3</v>
      </c>
      <c r="E229" s="211">
        <f t="shared" si="77"/>
        <v>2.3639200167424428E-2</v>
      </c>
      <c r="F229" s="221">
        <v>5022.82</v>
      </c>
      <c r="G229" s="172">
        <f t="shared" si="64"/>
        <v>6.8535850524090985E-3</v>
      </c>
      <c r="H229" s="205">
        <f t="shared" si="78"/>
        <v>-1.3527898344364379E-2</v>
      </c>
      <c r="I229" s="223">
        <v>371135.11</v>
      </c>
      <c r="J229" s="174">
        <v>400000</v>
      </c>
      <c r="K229" s="174">
        <f t="shared" si="79"/>
        <v>14591.049999999988</v>
      </c>
      <c r="L229" s="172">
        <f t="shared" si="75"/>
        <v>4.092355373975376E-2</v>
      </c>
      <c r="M229" s="184">
        <f t="shared" si="80"/>
        <v>-28864.890000000014</v>
      </c>
      <c r="N229" s="186">
        <f t="shared" si="76"/>
        <v>-7.2162225000000038E-2</v>
      </c>
      <c r="O229" s="184" t="b">
        <f t="shared" si="81"/>
        <v>1</v>
      </c>
      <c r="P229" s="186">
        <f>COUNTIF(O$2:O229, TRUE)/(COUNTIF(O$2:O229,FALSE) + COUNTIF(O$2:O229, TRUE))</f>
        <v>0.49122807017543857</v>
      </c>
      <c r="Q229" s="174">
        <v>321724.34999999998</v>
      </c>
      <c r="R229" s="174">
        <f t="shared" si="69"/>
        <v>49410.760000000009</v>
      </c>
      <c r="S229" s="174">
        <v>-44731</v>
      </c>
      <c r="T229" s="174">
        <f t="shared" si="74"/>
        <v>15866.109999999986</v>
      </c>
      <c r="U229" s="186">
        <f>STDEV(D$2:D229)*SQRT(252)</f>
        <v>0.17856422908432967</v>
      </c>
      <c r="V229" s="186">
        <f>STDEV(L$2:L229)*SQRT(252)</f>
        <v>0.37990463509326544</v>
      </c>
      <c r="W229" s="184">
        <f t="shared" si="71"/>
        <v>-0.18994826157434069</v>
      </c>
    </row>
    <row r="230" spans="2:23" ht="20.100000000000001" customHeight="1" x14ac:dyDescent="0.25">
      <c r="B230" s="173">
        <v>42564</v>
      </c>
      <c r="C230" s="217">
        <v>2152.4299999999998</v>
      </c>
      <c r="D230" s="172">
        <f t="shared" si="70"/>
        <v>1.347495980744578E-4</v>
      </c>
      <c r="E230" s="211">
        <f t="shared" si="77"/>
        <v>2.3777135138220249E-2</v>
      </c>
      <c r="F230" s="221">
        <v>5005.72</v>
      </c>
      <c r="G230" s="172">
        <f t="shared" si="64"/>
        <v>-3.4044620352709147E-3</v>
      </c>
      <c r="H230" s="205">
        <f t="shared" si="78"/>
        <v>-1.6886305163304902E-2</v>
      </c>
      <c r="I230" s="223">
        <v>368490.23999999999</v>
      </c>
      <c r="J230" s="174">
        <v>400000</v>
      </c>
      <c r="K230" s="174">
        <f t="shared" si="79"/>
        <v>-2644.8699999999953</v>
      </c>
      <c r="L230" s="172">
        <f t="shared" si="75"/>
        <v>-7.1264343597133547E-3</v>
      </c>
      <c r="M230" s="184">
        <f t="shared" si="80"/>
        <v>-31509.760000000009</v>
      </c>
      <c r="N230" s="186">
        <f t="shared" si="76"/>
        <v>-7.8774400000000022E-2</v>
      </c>
      <c r="O230" s="184" t="b">
        <f t="shared" si="81"/>
        <v>0</v>
      </c>
      <c r="P230" s="186">
        <f>COUNTIF(O$2:O230, TRUE)/(COUNTIF(O$2:O230,FALSE) + COUNTIF(O$2:O230, TRUE))</f>
        <v>0.48908296943231439</v>
      </c>
      <c r="Q230" s="174">
        <v>319923.32</v>
      </c>
      <c r="R230" s="174">
        <f t="shared" si="69"/>
        <v>48566.919999999984</v>
      </c>
      <c r="S230" s="174">
        <v>-47124</v>
      </c>
      <c r="T230" s="174">
        <f t="shared" si="74"/>
        <v>15614.239999999991</v>
      </c>
      <c r="U230" s="186">
        <f>STDEV(D$2:D230)*SQRT(252)</f>
        <v>0.17817048471828337</v>
      </c>
      <c r="V230" s="186">
        <f>STDEV(L$2:L230)*SQRT(252)</f>
        <v>0.3791487014021947</v>
      </c>
      <c r="W230" s="184">
        <f t="shared" si="71"/>
        <v>-0.20776650350817749</v>
      </c>
    </row>
    <row r="231" spans="2:23" ht="20.100000000000001" customHeight="1" x14ac:dyDescent="0.25">
      <c r="B231" s="173">
        <v>42565</v>
      </c>
      <c r="C231" s="217">
        <v>2163.75</v>
      </c>
      <c r="D231" s="172">
        <f t="shared" si="70"/>
        <v>5.2591721914302279E-3</v>
      </c>
      <c r="E231" s="211">
        <f t="shared" si="77"/>
        <v>2.9161355377561284E-2</v>
      </c>
      <c r="F231" s="221">
        <v>5034.05</v>
      </c>
      <c r="G231" s="172">
        <f t="shared" si="64"/>
        <v>5.6595255028247535E-3</v>
      </c>
      <c r="H231" s="205">
        <f t="shared" si="78"/>
        <v>-1.1322348135200354E-2</v>
      </c>
      <c r="I231" s="223">
        <v>370497.23</v>
      </c>
      <c r="J231" s="174">
        <v>400000</v>
      </c>
      <c r="K231" s="174">
        <f t="shared" si="79"/>
        <v>2006.9899999999907</v>
      </c>
      <c r="L231" s="172">
        <f t="shared" si="75"/>
        <v>5.4465214601070325E-3</v>
      </c>
      <c r="M231" s="184">
        <f t="shared" si="80"/>
        <v>-29502.770000000019</v>
      </c>
      <c r="N231" s="186">
        <f t="shared" si="76"/>
        <v>-7.3756925000000043E-2</v>
      </c>
      <c r="O231" s="184" t="b">
        <f t="shared" si="81"/>
        <v>1</v>
      </c>
      <c r="P231" s="186">
        <f>COUNTIF(O$2:O231, TRUE)/(COUNTIF(O$2:O231,FALSE) + COUNTIF(O$2:O231, TRUE))</f>
        <v>0.49130434782608695</v>
      </c>
      <c r="Q231" s="174">
        <v>321931.40999999997</v>
      </c>
      <c r="R231" s="174">
        <f t="shared" si="69"/>
        <v>48565.820000000007</v>
      </c>
      <c r="S231" s="174">
        <v>-47213</v>
      </c>
      <c r="T231" s="174">
        <f t="shared" si="74"/>
        <v>17710.229999999981</v>
      </c>
      <c r="U231" s="186">
        <f>STDEV(D$2:D231)*SQRT(252)</f>
        <v>0.17785960012092625</v>
      </c>
      <c r="V231" s="186">
        <f>STDEV(L$2:L231)*SQRT(252)</f>
        <v>0.378354378552888</v>
      </c>
      <c r="W231" s="184">
        <f t="shared" si="71"/>
        <v>-0.1949413808348196</v>
      </c>
    </row>
    <row r="232" spans="2:23" ht="20.100000000000001" customHeight="1" x14ac:dyDescent="0.25">
      <c r="B232" s="173">
        <v>42566</v>
      </c>
      <c r="C232" s="217">
        <v>2161.7399999999998</v>
      </c>
      <c r="D232" s="172">
        <f t="shared" si="70"/>
        <v>-9.2894280762575077E-4</v>
      </c>
      <c r="E232" s="211">
        <f t="shared" si="77"/>
        <v>2.8205323338596929E-2</v>
      </c>
      <c r="F232" s="221">
        <v>5029.58</v>
      </c>
      <c r="G232" s="172">
        <f t="shared" si="64"/>
        <v>-8.8795303979901958E-4</v>
      </c>
      <c r="H232" s="205">
        <f t="shared" si="78"/>
        <v>-1.2200247461555059E-2</v>
      </c>
      <c r="I232" s="223">
        <v>368347.44</v>
      </c>
      <c r="J232" s="174">
        <v>400000</v>
      </c>
      <c r="K232" s="174">
        <f t="shared" si="79"/>
        <v>-2149.789999999979</v>
      </c>
      <c r="L232" s="172">
        <f t="shared" si="75"/>
        <v>-5.8024455405509484E-3</v>
      </c>
      <c r="M232" s="184">
        <f t="shared" si="80"/>
        <v>-31652.559999999998</v>
      </c>
      <c r="N232" s="186">
        <f t="shared" si="76"/>
        <v>-7.9131399999999991E-2</v>
      </c>
      <c r="O232" s="184" t="b">
        <f t="shared" si="81"/>
        <v>0</v>
      </c>
      <c r="P232" s="186">
        <f>COUNTIF(O$2:O232, TRUE)/(COUNTIF(O$2:O232,FALSE) + COUNTIF(O$2:O232, TRUE))</f>
        <v>0.48917748917748916</v>
      </c>
      <c r="Q232" s="174">
        <v>315227.08</v>
      </c>
      <c r="R232" s="174">
        <f t="shared" si="69"/>
        <v>53120.359999999986</v>
      </c>
      <c r="S232" s="174">
        <v>-48618</v>
      </c>
      <c r="T232" s="174">
        <f t="shared" si="74"/>
        <v>16965.440000000002</v>
      </c>
      <c r="U232" s="186">
        <f>STDEV(D$2:D232)*SQRT(252)</f>
        <v>0.17747468742677538</v>
      </c>
      <c r="V232" s="186">
        <f>STDEV(L$2:L232)*SQRT(252)</f>
        <v>0.37758235657631534</v>
      </c>
      <c r="W232" s="184">
        <f t="shared" si="71"/>
        <v>-0.20957388135800326</v>
      </c>
    </row>
    <row r="233" spans="2:23" ht="20.100000000000001" customHeight="1" x14ac:dyDescent="0.25">
      <c r="B233" s="246">
        <v>42569</v>
      </c>
      <c r="C233" s="247">
        <v>2166.89</v>
      </c>
      <c r="D233" s="172">
        <f t="shared" si="70"/>
        <v>2.3823401519147036E-3</v>
      </c>
      <c r="E233" s="248">
        <f t="shared" si="77"/>
        <v>3.0654858164798907E-2</v>
      </c>
      <c r="F233" s="249">
        <v>5055.78</v>
      </c>
      <c r="G233" s="172">
        <f t="shared" si="64"/>
        <v>5.209182476469172E-3</v>
      </c>
      <c r="H233" s="250">
        <f t="shared" si="78"/>
        <v>-7.0546183003712066E-3</v>
      </c>
      <c r="I233" s="251">
        <f>369683.39+2.9</f>
        <v>369686.29000000004</v>
      </c>
      <c r="J233" s="252">
        <v>400000</v>
      </c>
      <c r="K233" s="252">
        <f t="shared" si="79"/>
        <v>1338.8500000000349</v>
      </c>
      <c r="L233" s="172">
        <f t="shared" si="75"/>
        <v>3.6347476719263611E-3</v>
      </c>
      <c r="M233" s="253">
        <f t="shared" si="80"/>
        <v>-30313.709999999963</v>
      </c>
      <c r="N233" s="254">
        <f t="shared" si="76"/>
        <v>-7.5784274999999901E-2</v>
      </c>
      <c r="O233" s="253" t="b">
        <f t="shared" si="81"/>
        <v>1</v>
      </c>
      <c r="P233" s="254">
        <f>COUNTIF(O$2:O233, TRUE)/(COUNTIF(O$2:O233,FALSE) + COUNTIF(O$2:O233, TRUE))</f>
        <v>0.49137931034482757</v>
      </c>
      <c r="Q233" s="252">
        <v>316103.03999999998</v>
      </c>
      <c r="R233" s="252">
        <f t="shared" si="69"/>
        <v>53583.250000000058</v>
      </c>
      <c r="S233" s="252">
        <v>-47875</v>
      </c>
      <c r="T233" s="252">
        <f t="shared" si="74"/>
        <v>17561.290000000037</v>
      </c>
      <c r="U233" s="254">
        <f>STDEV(D$2:D233)*SQRT(252)</f>
        <v>0.17710334708213829</v>
      </c>
      <c r="V233" s="254">
        <f>STDEV(L$2:L233)*SQRT(252)</f>
        <v>0.37677647505559991</v>
      </c>
      <c r="W233" s="253">
        <f t="shared" si="71"/>
        <v>-0.201138553007633</v>
      </c>
    </row>
    <row r="234" spans="2:23" ht="20.100000000000001" customHeight="1" x14ac:dyDescent="0.25">
      <c r="B234" s="246">
        <v>42570</v>
      </c>
      <c r="C234" s="247">
        <v>2163.7800000000002</v>
      </c>
      <c r="D234" s="172">
        <f t="shared" si="70"/>
        <v>-1.4352366756040559E-3</v>
      </c>
      <c r="E234" s="248">
        <f t="shared" si="77"/>
        <v>2.9175624512471292E-2</v>
      </c>
      <c r="F234" s="249">
        <v>5036.37</v>
      </c>
      <c r="G234" s="172">
        <f t="shared" si="64"/>
        <v>-3.8391702170584669E-3</v>
      </c>
      <c r="H234" s="250">
        <f t="shared" si="78"/>
        <v>-1.0866704636958173E-2</v>
      </c>
      <c r="I234" s="251">
        <v>364028.85</v>
      </c>
      <c r="J234" s="252">
        <v>400000</v>
      </c>
      <c r="K234" s="252">
        <f t="shared" si="79"/>
        <v>-5657.4400000000605</v>
      </c>
      <c r="L234" s="172">
        <f t="shared" si="75"/>
        <v>-1.5303353554171728E-2</v>
      </c>
      <c r="M234" s="253">
        <f t="shared" si="80"/>
        <v>-35971.150000000023</v>
      </c>
      <c r="N234" s="254">
        <f t="shared" si="76"/>
        <v>-8.992787500000006E-2</v>
      </c>
      <c r="O234" s="253" t="b">
        <f t="shared" si="81"/>
        <v>0</v>
      </c>
      <c r="P234" s="254">
        <f>COUNTIF(O$2:O234, TRUE)/(COUNTIF(O$2:O234,FALSE) + COUNTIF(O$2:O234, TRUE))</f>
        <v>0.48927038626609443</v>
      </c>
      <c r="Q234" s="252">
        <v>316420.40000000002</v>
      </c>
      <c r="R234" s="252">
        <f t="shared" si="69"/>
        <v>47608.449999999953</v>
      </c>
      <c r="S234" s="252">
        <v>-53164</v>
      </c>
      <c r="T234" s="252">
        <f t="shared" si="74"/>
        <v>17192.849999999977</v>
      </c>
      <c r="U234" s="254">
        <f>STDEV(D$2:D234)*SQRT(252)</f>
        <v>0.17672773618130258</v>
      </c>
      <c r="V234" s="254">
        <f>STDEV(L$2:L234)*SQRT(252)</f>
        <v>0.37631344049170978</v>
      </c>
      <c r="W234" s="253">
        <f t="shared" si="71"/>
        <v>-0.23897066998854954</v>
      </c>
    </row>
    <row r="235" spans="2:23" ht="20.100000000000001" customHeight="1" x14ac:dyDescent="0.25">
      <c r="B235" s="246">
        <v>42571</v>
      </c>
      <c r="C235" s="247">
        <v>2173.02</v>
      </c>
      <c r="D235" s="172">
        <f t="shared" si="70"/>
        <v>4.2703047444748454E-3</v>
      </c>
      <c r="E235" s="248">
        <f t="shared" si="77"/>
        <v>3.3570518064724761E-2</v>
      </c>
      <c r="F235" s="249">
        <v>5089.93</v>
      </c>
      <c r="G235" s="172">
        <f t="shared" si="64"/>
        <v>1.0634643602435961E-2</v>
      </c>
      <c r="H235" s="250">
        <f t="shared" si="78"/>
        <v>-3.4762456546920032E-4</v>
      </c>
      <c r="I235" s="251">
        <v>366983.12</v>
      </c>
      <c r="J235" s="252">
        <v>400000</v>
      </c>
      <c r="K235" s="252">
        <f t="shared" si="79"/>
        <v>2954.2700000000186</v>
      </c>
      <c r="L235" s="172">
        <f t="shared" si="75"/>
        <v>8.1154831547005646E-3</v>
      </c>
      <c r="M235" s="253">
        <f t="shared" si="80"/>
        <v>-33016.880000000005</v>
      </c>
      <c r="N235" s="254">
        <f t="shared" si="76"/>
        <v>-8.254220000000001E-2</v>
      </c>
      <c r="O235" s="253" t="b">
        <f t="shared" si="81"/>
        <v>1</v>
      </c>
      <c r="P235" s="254">
        <f>COUNTIF(O$2:O235, TRUE)/(COUNTIF(O$2:O235,FALSE) + COUNTIF(O$2:O235, TRUE))</f>
        <v>0.49145299145299143</v>
      </c>
      <c r="Q235" s="252">
        <v>315168.17</v>
      </c>
      <c r="R235" s="252">
        <f t="shared" si="69"/>
        <v>51814.950000000012</v>
      </c>
      <c r="S235" s="252">
        <v>-50698</v>
      </c>
      <c r="T235" s="252">
        <f t="shared" si="74"/>
        <v>17681.119999999995</v>
      </c>
      <c r="U235" s="254">
        <f>STDEV(D$2:D235)*SQRT(252)</f>
        <v>0.17639759874782845</v>
      </c>
      <c r="V235" s="254">
        <f>STDEV(L$2:L235)*SQRT(252)</f>
        <v>0.37559009819227351</v>
      </c>
      <c r="W235" s="253">
        <f t="shared" si="71"/>
        <v>-0.21976670949867452</v>
      </c>
    </row>
    <row r="236" spans="2:23" ht="20.100000000000001" customHeight="1" x14ac:dyDescent="0.25">
      <c r="B236" s="246">
        <v>42572</v>
      </c>
      <c r="C236" s="247">
        <v>2165.17</v>
      </c>
      <c r="D236" s="172">
        <f t="shared" si="70"/>
        <v>-3.6124840084306217E-3</v>
      </c>
      <c r="E236" s="248">
        <f t="shared" si="77"/>
        <v>2.9836761096630589E-2</v>
      </c>
      <c r="F236" s="249">
        <v>5073.8999999999996</v>
      </c>
      <c r="G236" s="172">
        <f t="shared" si="64"/>
        <v>-3.1493556885852365E-3</v>
      </c>
      <c r="H236" s="250">
        <f t="shared" si="78"/>
        <v>-3.4958854606516846E-3</v>
      </c>
      <c r="I236" s="251">
        <f>360276.2+45</f>
        <v>360321.2</v>
      </c>
      <c r="J236" s="252">
        <v>400000</v>
      </c>
      <c r="K236" s="252">
        <f t="shared" si="79"/>
        <v>-6661.9199999999837</v>
      </c>
      <c r="L236" s="172">
        <f t="shared" si="75"/>
        <v>-1.8153205520733445E-2</v>
      </c>
      <c r="M236" s="253">
        <f t="shared" si="80"/>
        <v>-39678.799999999988</v>
      </c>
      <c r="N236" s="254">
        <f t="shared" si="76"/>
        <v>-9.9196999999999966E-2</v>
      </c>
      <c r="O236" s="253" t="b">
        <f t="shared" si="81"/>
        <v>0</v>
      </c>
      <c r="P236" s="254">
        <f>COUNTIF(O$2:O236, TRUE)/(COUNTIF(O$2:O236,FALSE) + COUNTIF(O$2:O236, TRUE))</f>
        <v>0.48936170212765956</v>
      </c>
      <c r="Q236" s="252">
        <v>315749.06</v>
      </c>
      <c r="R236" s="252">
        <f t="shared" si="69"/>
        <v>44572.140000000014</v>
      </c>
      <c r="S236" s="252">
        <v>-55981</v>
      </c>
      <c r="T236" s="252">
        <f t="shared" si="74"/>
        <v>16302.200000000012</v>
      </c>
      <c r="U236" s="254">
        <f>STDEV(D$2:D236)*SQRT(252)</f>
        <v>0.17606319207854554</v>
      </c>
      <c r="V236" s="254">
        <f>STDEV(L$2:L236)*SQRT(252)</f>
        <v>0.37527253812431671</v>
      </c>
      <c r="W236" s="253">
        <f t="shared" si="71"/>
        <v>-0.26433322431693346</v>
      </c>
    </row>
    <row r="237" spans="2:23" ht="20.100000000000001" customHeight="1" x14ac:dyDescent="0.25">
      <c r="B237" s="246">
        <v>42573</v>
      </c>
      <c r="C237" s="247">
        <v>2175.0300000000002</v>
      </c>
      <c r="D237" s="172">
        <f t="shared" si="70"/>
        <v>4.553914935085987E-3</v>
      </c>
      <c r="E237" s="248">
        <f t="shared" si="77"/>
        <v>3.4526550103689116E-2</v>
      </c>
      <c r="F237" s="249">
        <v>5100.16</v>
      </c>
      <c r="G237" s="172">
        <f t="shared" si="64"/>
        <v>5.175506021009523E-3</v>
      </c>
      <c r="H237" s="250">
        <f t="shared" si="78"/>
        <v>1.6615275841074762E-3</v>
      </c>
      <c r="I237" s="251">
        <v>357414.17</v>
      </c>
      <c r="J237" s="252">
        <v>400000</v>
      </c>
      <c r="K237" s="252">
        <f t="shared" si="79"/>
        <v>-2907.0300000000279</v>
      </c>
      <c r="L237" s="172">
        <f t="shared" si="75"/>
        <v>-8.0678849870616208E-3</v>
      </c>
      <c r="M237" s="253">
        <f t="shared" si="80"/>
        <v>-42585.830000000016</v>
      </c>
      <c r="N237" s="254">
        <f t="shared" si="76"/>
        <v>-0.10646457500000005</v>
      </c>
      <c r="O237" s="253" t="b">
        <f t="shared" si="81"/>
        <v>0</v>
      </c>
      <c r="P237" s="254">
        <f>COUNTIF(O$2:O237, TRUE)/(COUNTIF(O$2:O237,FALSE) + COUNTIF(O$2:O237, TRUE))</f>
        <v>0.48728813559322032</v>
      </c>
      <c r="Q237" s="252">
        <v>316131.83</v>
      </c>
      <c r="R237" s="252">
        <f t="shared" ref="R237:R242" si="82">I237-Q237</f>
        <v>41282.339999999967</v>
      </c>
      <c r="S237" s="252">
        <v>-58740</v>
      </c>
      <c r="T237" s="252">
        <f t="shared" ref="T237:T242" si="83">M237-S237</f>
        <v>16154.169999999984</v>
      </c>
      <c r="U237" s="254">
        <f>STDEV(D$2:D237)*SQRT(252)</f>
        <v>0.17574477489002999</v>
      </c>
      <c r="V237" s="254">
        <f>STDEV(L$2:L237)*SQRT(252)</f>
        <v>0.37456834740512818</v>
      </c>
      <c r="W237" s="253">
        <f t="shared" si="71"/>
        <v>-0.28423270609368756</v>
      </c>
    </row>
    <row r="238" spans="2:23" ht="20.100000000000001" customHeight="1" x14ac:dyDescent="0.25">
      <c r="B238" s="173">
        <v>42576</v>
      </c>
      <c r="C238" s="217">
        <v>2168.48</v>
      </c>
      <c r="D238" s="172">
        <f t="shared" si="70"/>
        <v>-3.0114527155948108E-3</v>
      </c>
      <c r="E238" s="211">
        <f t="shared" si="77"/>
        <v>3.141112231502443E-2</v>
      </c>
      <c r="F238" s="221">
        <v>5097.62</v>
      </c>
      <c r="G238" s="172">
        <f t="shared" si="64"/>
        <v>-4.9802359141673275E-4</v>
      </c>
      <c r="H238" s="205">
        <f t="shared" si="78"/>
        <v>1.1626765127560684E-3</v>
      </c>
      <c r="I238" s="223">
        <v>355693.78</v>
      </c>
      <c r="J238" s="174">
        <v>400000</v>
      </c>
      <c r="K238" s="174">
        <f t="shared" si="79"/>
        <v>-1720.3899999999558</v>
      </c>
      <c r="L238" s="172">
        <f t="shared" si="75"/>
        <v>-4.8134353486879262E-3</v>
      </c>
      <c r="M238" s="184">
        <f t="shared" si="80"/>
        <v>-44306.219999999972</v>
      </c>
      <c r="N238" s="186">
        <f t="shared" si="76"/>
        <v>-0.11076554999999993</v>
      </c>
      <c r="O238" s="184" t="b">
        <f t="shared" si="81"/>
        <v>0</v>
      </c>
      <c r="P238" s="186">
        <f>COUNTIF(O$2:O238, TRUE)/(COUNTIF(O$2:O238,FALSE) + COUNTIF(O$2:O238, TRUE))</f>
        <v>0.48523206751054854</v>
      </c>
      <c r="Q238" s="174">
        <v>311346.09000000003</v>
      </c>
      <c r="R238" s="174">
        <f t="shared" si="82"/>
        <v>44347.69</v>
      </c>
      <c r="S238" s="174">
        <v>-60287</v>
      </c>
      <c r="T238" s="174">
        <f t="shared" si="83"/>
        <v>15980.780000000028</v>
      </c>
      <c r="U238" s="186">
        <f>STDEV(D$2:D238)*SQRT(252)</f>
        <v>0.17540195592552774</v>
      </c>
      <c r="V238" s="186">
        <f>STDEV(L$2:L238)*SQRT(252)</f>
        <v>0.37380634336339558</v>
      </c>
      <c r="W238" s="184">
        <f t="shared" si="71"/>
        <v>-0.29631800520923551</v>
      </c>
    </row>
    <row r="239" spans="2:23" ht="20.100000000000001" customHeight="1" x14ac:dyDescent="0.25">
      <c r="B239" s="173">
        <v>42577</v>
      </c>
      <c r="C239" s="217">
        <v>2169.1799999999998</v>
      </c>
      <c r="D239" s="172">
        <f t="shared" si="70"/>
        <v>3.2280675865113727E-4</v>
      </c>
      <c r="E239" s="211">
        <f t="shared" si="77"/>
        <v>3.1744068796255673E-2</v>
      </c>
      <c r="F239" s="221">
        <v>5110.04</v>
      </c>
      <c r="G239" s="172">
        <f t="shared" si="64"/>
        <v>2.4364311188358632E-3</v>
      </c>
      <c r="H239" s="205">
        <f t="shared" si="78"/>
        <v>3.60194041282875E-3</v>
      </c>
      <c r="I239" s="223">
        <v>360934.05</v>
      </c>
      <c r="J239" s="174">
        <v>400000</v>
      </c>
      <c r="K239" s="174">
        <f t="shared" si="79"/>
        <v>5240.2699999999604</v>
      </c>
      <c r="L239" s="172">
        <f t="shared" si="75"/>
        <v>1.4732532011102247E-2</v>
      </c>
      <c r="M239" s="184">
        <f t="shared" si="80"/>
        <v>-39065.950000000012</v>
      </c>
      <c r="N239" s="186">
        <f t="shared" si="76"/>
        <v>-9.7664875000000026E-2</v>
      </c>
      <c r="O239" s="184" t="b">
        <f t="shared" si="81"/>
        <v>1</v>
      </c>
      <c r="P239" s="186">
        <f>COUNTIF(O$2:O239, TRUE)/(COUNTIF(O$2:O239,FALSE) + COUNTIF(O$2:O239, TRUE))</f>
        <v>0.48739495798319327</v>
      </c>
      <c r="Q239" s="174">
        <v>295609.99</v>
      </c>
      <c r="R239" s="174">
        <f t="shared" si="82"/>
        <v>65324.06</v>
      </c>
      <c r="S239" s="174">
        <v>-55468</v>
      </c>
      <c r="T239" s="174">
        <f t="shared" si="83"/>
        <v>16402.049999999988</v>
      </c>
      <c r="U239" s="186">
        <f>STDEV(D$2:D239)*SQRT(252)</f>
        <v>0.17502999912472075</v>
      </c>
      <c r="V239" s="186">
        <f>STDEV(L$2:L239)*SQRT(252)</f>
        <v>0.37331560015373266</v>
      </c>
      <c r="W239" s="184">
        <f t="shared" si="71"/>
        <v>-0.26161477034386266</v>
      </c>
    </row>
    <row r="240" spans="2:23" ht="20.100000000000001" customHeight="1" x14ac:dyDescent="0.25">
      <c r="B240" s="173">
        <v>42578</v>
      </c>
      <c r="C240" s="217">
        <v>2166.58</v>
      </c>
      <c r="D240" s="172">
        <f t="shared" si="70"/>
        <v>-1.1986096128490532E-3</v>
      </c>
      <c r="E240" s="211">
        <f t="shared" si="77"/>
        <v>3.0507410437396486E-2</v>
      </c>
      <c r="F240" s="221">
        <v>5139.8100000000004</v>
      </c>
      <c r="G240" s="172">
        <f t="shared" si="64"/>
        <v>5.8257860995218113E-3</v>
      </c>
      <c r="H240" s="205">
        <f t="shared" si="78"/>
        <v>9.4487106467389254E-3</v>
      </c>
      <c r="I240" s="223">
        <f>351218.55-2.4</f>
        <v>351216.14999999997</v>
      </c>
      <c r="J240" s="174">
        <v>400000</v>
      </c>
      <c r="K240" s="174">
        <f t="shared" si="79"/>
        <v>-9717.9000000000233</v>
      </c>
      <c r="L240" s="172">
        <f t="shared" si="75"/>
        <v>-2.6924309302488982E-2</v>
      </c>
      <c r="M240" s="184">
        <f t="shared" si="80"/>
        <v>-48783.850000000035</v>
      </c>
      <c r="N240" s="186">
        <f t="shared" si="76"/>
        <v>-0.12195962500000009</v>
      </c>
      <c r="O240" s="184" t="b">
        <f t="shared" si="81"/>
        <v>0</v>
      </c>
      <c r="P240" s="186">
        <f>COUNTIF(O$2:O240, TRUE)/(COUNTIF(O$2:O240,FALSE) + COUNTIF(O$2:O240, TRUE))</f>
        <v>0.48535564853556484</v>
      </c>
      <c r="Q240" s="174">
        <v>295103.78999999998</v>
      </c>
      <c r="R240" s="174">
        <f t="shared" si="82"/>
        <v>56112.359999999986</v>
      </c>
      <c r="S240" s="174">
        <v>-64415</v>
      </c>
      <c r="T240" s="174">
        <f t="shared" si="83"/>
        <v>15631.149999999965</v>
      </c>
      <c r="U240" s="186">
        <f>STDEV(D$2:D240)*SQRT(252)</f>
        <v>0.17466621287076281</v>
      </c>
      <c r="V240" s="186">
        <f>STDEV(L$2:L240)*SQRT(252)</f>
        <v>0.37357383869513988</v>
      </c>
      <c r="W240" s="184">
        <f t="shared" si="71"/>
        <v>-0.32646725323698839</v>
      </c>
    </row>
    <row r="241" spans="1:23" ht="20.100000000000001" customHeight="1" x14ac:dyDescent="0.25">
      <c r="B241" s="173">
        <v>42579</v>
      </c>
      <c r="C241" s="217">
        <v>2170.06</v>
      </c>
      <c r="D241" s="172">
        <f t="shared" si="70"/>
        <v>1.6062180948776498E-3</v>
      </c>
      <c r="E241" s="211">
        <f t="shared" si="77"/>
        <v>3.2162630086946545E-2</v>
      </c>
      <c r="F241" s="221">
        <v>5154.9799999999996</v>
      </c>
      <c r="G241" s="172">
        <f t="shared" si="64"/>
        <v>2.9514709687710563E-3</v>
      </c>
      <c r="H241" s="205">
        <f t="shared" si="78"/>
        <v>1.2428069210676148E-2</v>
      </c>
      <c r="I241" s="223">
        <v>351887.73</v>
      </c>
      <c r="J241" s="174">
        <v>400000</v>
      </c>
      <c r="K241" s="174">
        <f t="shared" si="79"/>
        <v>671.5800000000163</v>
      </c>
      <c r="L241" s="172">
        <f t="shared" si="75"/>
        <v>1.9121558049082206E-3</v>
      </c>
      <c r="M241" s="184">
        <f t="shared" si="80"/>
        <v>-48112.270000000019</v>
      </c>
      <c r="N241" s="186">
        <f t="shared" si="76"/>
        <v>-0.12028067500000005</v>
      </c>
      <c r="O241" s="184" t="b">
        <f t="shared" si="81"/>
        <v>1</v>
      </c>
      <c r="P241" s="186">
        <f>COUNTIF(O$2:O241, TRUE)/(COUNTIF(O$2:O241,FALSE) + COUNTIF(O$2:O241, TRUE))</f>
        <v>0.48749999999999999</v>
      </c>
      <c r="Q241" s="174">
        <v>306491.34999999998</v>
      </c>
      <c r="R241" s="174">
        <f t="shared" si="82"/>
        <v>45396.380000000005</v>
      </c>
      <c r="S241" s="174">
        <v>-63248</v>
      </c>
      <c r="T241" s="174">
        <f t="shared" si="83"/>
        <v>15135.729999999981</v>
      </c>
      <c r="U241" s="186">
        <f>STDEV(D$2:D241)*SQRT(252)</f>
        <v>0.17430497581384302</v>
      </c>
      <c r="V241" s="186">
        <f>STDEV(L$2:L241)*SQRT(252)</f>
        <v>0.37279274055236694</v>
      </c>
      <c r="W241" s="184">
        <f t="shared" si="71"/>
        <v>-0.32264757844205921</v>
      </c>
    </row>
    <row r="242" spans="1:23" ht="20.100000000000001" customHeight="1" x14ac:dyDescent="0.25">
      <c r="B242" s="173">
        <v>42580</v>
      </c>
      <c r="C242" s="217">
        <v>2173.6</v>
      </c>
      <c r="D242" s="172">
        <f t="shared" si="70"/>
        <v>1.6312913007013464E-3</v>
      </c>
      <c r="E242" s="211">
        <f t="shared" si="77"/>
        <v>3.3846388006316397E-2</v>
      </c>
      <c r="F242" s="221">
        <v>5162.13</v>
      </c>
      <c r="G242" s="172">
        <f t="shared" si="64"/>
        <v>1.3870082910119044E-3</v>
      </c>
      <c r="H242" s="205">
        <f t="shared" si="78"/>
        <v>1.3832315336724531E-2</v>
      </c>
      <c r="I242" s="420">
        <v>352850.19</v>
      </c>
      <c r="J242" s="174">
        <v>400000</v>
      </c>
      <c r="K242" s="174">
        <f t="shared" si="79"/>
        <v>962.46000000002095</v>
      </c>
      <c r="L242" s="172">
        <f t="shared" si="75"/>
        <v>2.7351337314319569E-3</v>
      </c>
      <c r="M242" s="184">
        <f t="shared" si="80"/>
        <v>-47149.81</v>
      </c>
      <c r="N242" s="186">
        <f t="shared" si="76"/>
        <v>-0.11787452499999999</v>
      </c>
      <c r="O242" s="184" t="b">
        <f t="shared" si="81"/>
        <v>1</v>
      </c>
      <c r="P242" s="186">
        <f>COUNTIF(O$2:O242, TRUE)/(COUNTIF(O$2:O242,FALSE) + COUNTIF(O$2:O242, TRUE))</f>
        <v>0.48962655601659749</v>
      </c>
      <c r="Q242" s="174">
        <v>298371.77</v>
      </c>
      <c r="R242" s="174">
        <f t="shared" si="82"/>
        <v>54478.419999999984</v>
      </c>
      <c r="S242" s="174">
        <v>-61571</v>
      </c>
      <c r="T242" s="174">
        <f t="shared" si="83"/>
        <v>14421.190000000002</v>
      </c>
      <c r="U242" s="186">
        <f>STDEV(D$2:D242)*SQRT(252)</f>
        <v>0.173946186031568</v>
      </c>
      <c r="V242" s="186">
        <f>STDEV(L$2:L242)*SQRT(252)</f>
        <v>0.37202162492103208</v>
      </c>
      <c r="W242" s="184">
        <f t="shared" si="71"/>
        <v>-0.3168485838021402</v>
      </c>
    </row>
    <row r="243" spans="1:23" ht="20.100000000000001" customHeight="1" x14ac:dyDescent="0.25">
      <c r="B243" s="246">
        <v>42583</v>
      </c>
      <c r="C243" s="247">
        <v>2170.84</v>
      </c>
      <c r="D243" s="172">
        <f t="shared" si="70"/>
        <v>-1.2697828487301084E-3</v>
      </c>
      <c r="E243" s="248">
        <f t="shared" si="77"/>
        <v>3.253362759460441E-2</v>
      </c>
      <c r="F243" s="249">
        <v>5184.1899999999996</v>
      </c>
      <c r="G243" s="172">
        <f t="shared" si="64"/>
        <v>4.2734297663947806E-3</v>
      </c>
      <c r="H243" s="250">
        <f t="shared" si="78"/>
        <v>1.8164856531217428E-2</v>
      </c>
      <c r="I243" s="251">
        <v>345131.68</v>
      </c>
      <c r="J243" s="252">
        <v>400000</v>
      </c>
      <c r="K243" s="252">
        <f t="shared" si="79"/>
        <v>-7718.5100000000093</v>
      </c>
      <c r="L243" s="172">
        <f t="shared" si="75"/>
        <v>-2.1874750868066725E-2</v>
      </c>
      <c r="M243" s="253">
        <f t="shared" si="80"/>
        <v>-54868.320000000007</v>
      </c>
      <c r="N243" s="254">
        <f t="shared" si="76"/>
        <v>-0.13717080000000001</v>
      </c>
      <c r="O243" s="253" t="b">
        <f t="shared" si="81"/>
        <v>0</v>
      </c>
      <c r="P243" s="254">
        <f>COUNTIF(O$2:O243, TRUE)/(COUNTIF(O$2:O243,FALSE) + COUNTIF(O$2:O243, TRUE))</f>
        <v>0.48760330578512395</v>
      </c>
      <c r="Q243" s="252">
        <v>293278.65999999997</v>
      </c>
      <c r="R243" s="252">
        <f t="shared" ref="R243:R251" si="84">I243-Q243</f>
        <v>51853.020000000019</v>
      </c>
      <c r="S243" s="252">
        <v>-69701</v>
      </c>
      <c r="T243" s="252">
        <f t="shared" ref="T243:T251" si="85">M243-S243</f>
        <v>14832.679999999993</v>
      </c>
      <c r="U243" s="254">
        <f>STDEV(D$2:D243)*SQRT(252)</f>
        <v>0.17358991388387063</v>
      </c>
      <c r="V243" s="254">
        <f>STDEV(L$2:L243)*SQRT(252)</f>
        <v>0.37192751121581696</v>
      </c>
      <c r="W243" s="253">
        <f t="shared" si="71"/>
        <v>-0.36881057696322023</v>
      </c>
    </row>
    <row r="244" spans="1:23" ht="20.100000000000001" customHeight="1" x14ac:dyDescent="0.25">
      <c r="B244" s="246">
        <v>42584</v>
      </c>
      <c r="C244" s="247">
        <v>2157.0300000000002</v>
      </c>
      <c r="D244" s="172">
        <f t="shared" si="70"/>
        <v>-6.3615927475078517E-3</v>
      </c>
      <c r="E244" s="248">
        <f t="shared" si="77"/>
        <v>2.5965069157740599E-2</v>
      </c>
      <c r="F244" s="249">
        <v>5137.7299999999996</v>
      </c>
      <c r="G244" s="172">
        <f t="shared" si="64"/>
        <v>-8.9618628946855801E-3</v>
      </c>
      <c r="H244" s="250">
        <f t="shared" si="78"/>
        <v>9.0402026827974442E-3</v>
      </c>
      <c r="I244" s="251">
        <v>341216.81</v>
      </c>
      <c r="J244" s="252">
        <v>400000</v>
      </c>
      <c r="K244" s="252">
        <f t="shared" si="79"/>
        <v>-3914.8699999999953</v>
      </c>
      <c r="L244" s="172">
        <f t="shared" si="75"/>
        <v>-1.1343119820237875E-2</v>
      </c>
      <c r="M244" s="253">
        <f t="shared" si="80"/>
        <v>-58783.19</v>
      </c>
      <c r="N244" s="254">
        <f t="shared" si="76"/>
        <v>-0.14695797500000002</v>
      </c>
      <c r="O244" s="253" t="b">
        <f t="shared" si="81"/>
        <v>0</v>
      </c>
      <c r="P244" s="254">
        <f>COUNTIF(O$2:O244, TRUE)/(COUNTIF(O$2:O244,FALSE) + COUNTIF(O$2:O244, TRUE))</f>
        <v>0.48559670781893005</v>
      </c>
      <c r="Q244" s="252">
        <v>294933.84999999998</v>
      </c>
      <c r="R244" s="252">
        <f t="shared" si="84"/>
        <v>46282.960000000021</v>
      </c>
      <c r="S244" s="252">
        <v>-70463</v>
      </c>
      <c r="T244" s="252">
        <f t="shared" si="85"/>
        <v>11679.809999999998</v>
      </c>
      <c r="U244" s="254">
        <f>STDEV(D$2:D244)*SQRT(252)</f>
        <v>0.17335845617207907</v>
      </c>
      <c r="V244" s="254">
        <f>STDEV(L$2:L244)*SQRT(252)</f>
        <v>0.37133699496327655</v>
      </c>
      <c r="W244" s="253">
        <f t="shared" si="71"/>
        <v>-0.39575366040362731</v>
      </c>
    </row>
    <row r="245" spans="1:23" ht="20.100000000000001" customHeight="1" x14ac:dyDescent="0.25">
      <c r="B245" s="246">
        <v>42585</v>
      </c>
      <c r="C245" s="247">
        <v>2163.79</v>
      </c>
      <c r="D245" s="172">
        <f t="shared" si="70"/>
        <v>3.1339387954732955E-3</v>
      </c>
      <c r="E245" s="248">
        <f t="shared" si="77"/>
        <v>2.9180380890774484E-2</v>
      </c>
      <c r="F245" s="249">
        <v>5159.7299999999996</v>
      </c>
      <c r="G245" s="172">
        <f t="shared" si="64"/>
        <v>4.2820467404865578E-3</v>
      </c>
      <c r="H245" s="250">
        <f t="shared" si="78"/>
        <v>1.3360959993715213E-2</v>
      </c>
      <c r="I245" s="251">
        <v>347416.57</v>
      </c>
      <c r="J245" s="252">
        <v>400000</v>
      </c>
      <c r="K245" s="252">
        <f t="shared" si="79"/>
        <v>6199.7600000000093</v>
      </c>
      <c r="L245" s="172">
        <f t="shared" si="75"/>
        <v>1.8169562044730473E-2</v>
      </c>
      <c r="M245" s="253">
        <f t="shared" si="80"/>
        <v>-52583.429999999993</v>
      </c>
      <c r="N245" s="254">
        <f t="shared" si="76"/>
        <v>-0.13145857499999999</v>
      </c>
      <c r="O245" s="253" t="b">
        <f t="shared" si="81"/>
        <v>1</v>
      </c>
      <c r="P245" s="254">
        <f>COUNTIF(O$2:O245, TRUE)/(COUNTIF(O$2:O245,FALSE) + COUNTIF(O$2:O245, TRUE))</f>
        <v>0.48770491803278687</v>
      </c>
      <c r="Q245" s="252">
        <v>306485.61</v>
      </c>
      <c r="R245" s="252">
        <f t="shared" si="84"/>
        <v>40930.960000000021</v>
      </c>
      <c r="S245" s="252">
        <v>-64757</v>
      </c>
      <c r="T245" s="252">
        <f t="shared" si="85"/>
        <v>12173.570000000007</v>
      </c>
      <c r="U245" s="254">
        <f>STDEV(D$2:D245)*SQRT(252)</f>
        <v>0.17302631654204345</v>
      </c>
      <c r="V245" s="254">
        <f>STDEV(L$2:L245)*SQRT(252)</f>
        <v>0.37103067638911486</v>
      </c>
      <c r="W245" s="253">
        <f t="shared" si="71"/>
        <v>-0.35430648559671674</v>
      </c>
    </row>
    <row r="246" spans="1:23" ht="20.100000000000001" customHeight="1" x14ac:dyDescent="0.25">
      <c r="B246" s="246">
        <v>42586</v>
      </c>
      <c r="C246" s="247">
        <v>2164.25</v>
      </c>
      <c r="D246" s="172">
        <f t="shared" si="70"/>
        <v>2.1258994634416298E-4</v>
      </c>
      <c r="E246" s="248">
        <f t="shared" si="77"/>
        <v>2.939917429272652E-2</v>
      </c>
      <c r="F246" s="249">
        <v>5166.24</v>
      </c>
      <c r="G246" s="172">
        <f t="shared" si="64"/>
        <v>1.2616939258449993E-3</v>
      </c>
      <c r="H246" s="250">
        <f t="shared" si="78"/>
        <v>1.4639511361627741E-2</v>
      </c>
      <c r="I246" s="251">
        <v>348668.66</v>
      </c>
      <c r="J246" s="252">
        <v>400000</v>
      </c>
      <c r="K246" s="252">
        <f t="shared" si="79"/>
        <v>1252.0899999999674</v>
      </c>
      <c r="L246" s="172">
        <f t="shared" si="75"/>
        <v>3.6040019622551895E-3</v>
      </c>
      <c r="M246" s="253">
        <f t="shared" si="80"/>
        <v>-51331.340000000026</v>
      </c>
      <c r="N246" s="254">
        <f t="shared" si="76"/>
        <v>-0.12832835000000006</v>
      </c>
      <c r="O246" s="253" t="b">
        <f t="shared" si="81"/>
        <v>1</v>
      </c>
      <c r="P246" s="254">
        <f>COUNTIF(O$2:O246, TRUE)/(COUNTIF(O$2:O246,FALSE) + COUNTIF(O$2:O246, TRUE))</f>
        <v>0.48979591836734693</v>
      </c>
      <c r="Q246" s="252">
        <v>306486.61</v>
      </c>
      <c r="R246" s="252">
        <f t="shared" si="84"/>
        <v>42182.049999999988</v>
      </c>
      <c r="S246" s="252">
        <v>-64756</v>
      </c>
      <c r="T246" s="252">
        <f t="shared" si="85"/>
        <v>13424.659999999974</v>
      </c>
      <c r="U246" s="254">
        <f>STDEV(D$2:D246)*SQRT(252)</f>
        <v>0.1726699319358726</v>
      </c>
      <c r="V246" s="254">
        <f>STDEV(L$2:L246)*SQRT(252)</f>
        <v>0.37028383202660053</v>
      </c>
      <c r="W246" s="253">
        <f t="shared" si="71"/>
        <v>-0.34656752172420313</v>
      </c>
    </row>
    <row r="247" spans="1:23" ht="20.100000000000001" customHeight="1" x14ac:dyDescent="0.25">
      <c r="B247" s="246">
        <v>42587</v>
      </c>
      <c r="C247" s="247">
        <v>2182.87</v>
      </c>
      <c r="D247" s="172">
        <f t="shared" si="70"/>
        <v>8.6034423010280196E-3</v>
      </c>
      <c r="E247" s="248">
        <f t="shared" si="77"/>
        <v>3.8255550693479877E-2</v>
      </c>
      <c r="F247" s="249">
        <v>5221.12</v>
      </c>
      <c r="G247" s="172">
        <f t="shared" si="64"/>
        <v>1.0622812722599049E-2</v>
      </c>
      <c r="H247" s="250">
        <f t="shared" si="78"/>
        <v>2.5417836871771723E-2</v>
      </c>
      <c r="I247" s="251">
        <v>357514.04</v>
      </c>
      <c r="J247" s="252">
        <v>400000</v>
      </c>
      <c r="K247" s="252">
        <f t="shared" si="79"/>
        <v>8845.3800000000047</v>
      </c>
      <c r="L247" s="172">
        <f t="shared" si="75"/>
        <v>2.5369013664721128E-2</v>
      </c>
      <c r="M247" s="253">
        <f t="shared" si="80"/>
        <v>-42485.960000000021</v>
      </c>
      <c r="N247" s="254">
        <f t="shared" si="76"/>
        <v>-0.10621490000000006</v>
      </c>
      <c r="O247" s="253" t="b">
        <f t="shared" si="81"/>
        <v>1</v>
      </c>
      <c r="P247" s="254">
        <f>COUNTIF(O$2:O247, TRUE)/(COUNTIF(O$2:O247,FALSE) + COUNTIF(O$2:O247, TRUE))</f>
        <v>0.491869918699187</v>
      </c>
      <c r="Q247" s="252">
        <v>296324.56</v>
      </c>
      <c r="R247" s="252">
        <f t="shared" si="84"/>
        <v>61189.479999999981</v>
      </c>
      <c r="S247" s="252">
        <v>-56695</v>
      </c>
      <c r="T247" s="252">
        <f t="shared" si="85"/>
        <v>14209.039999999979</v>
      </c>
      <c r="U247" s="254">
        <f>STDEV(D$2:D247)*SQRT(252)</f>
        <v>0.17252748561218473</v>
      </c>
      <c r="V247" s="254">
        <f>STDEV(L$2:L247)*SQRT(252)</f>
        <v>0.37041269754030803</v>
      </c>
      <c r="W247" s="253">
        <f t="shared" si="71"/>
        <v>-0.28674745953718778</v>
      </c>
    </row>
    <row r="248" spans="1:23" ht="20.100000000000001" customHeight="1" x14ac:dyDescent="0.25">
      <c r="B248" s="173">
        <v>42590</v>
      </c>
      <c r="C248" s="217">
        <v>2180.89</v>
      </c>
      <c r="D248" s="172">
        <f t="shared" si="70"/>
        <v>-9.0706272018032145E-4</v>
      </c>
      <c r="E248" s="211">
        <f t="shared" si="77"/>
        <v>3.7313787789425533E-2</v>
      </c>
      <c r="F248" s="221">
        <v>5213.1400000000003</v>
      </c>
      <c r="G248" s="172">
        <f t="shared" si="64"/>
        <v>-1.528407697965104E-3</v>
      </c>
      <c r="H248" s="205">
        <f t="shared" si="78"/>
        <v>2.3850580356266179E-2</v>
      </c>
      <c r="I248" s="223">
        <v>360717.48</v>
      </c>
      <c r="J248" s="174">
        <v>400000</v>
      </c>
      <c r="K248" s="174">
        <f t="shared" si="79"/>
        <v>3203.4400000000023</v>
      </c>
      <c r="L248" s="172">
        <f>K248/I247</f>
        <v>8.9603194324899878E-3</v>
      </c>
      <c r="M248" s="184">
        <f t="shared" si="80"/>
        <v>-39282.520000000019</v>
      </c>
      <c r="N248" s="186">
        <f t="shared" si="76"/>
        <v>-9.8206300000000052E-2</v>
      </c>
      <c r="O248" s="184" t="b">
        <f t="shared" si="81"/>
        <v>1</v>
      </c>
      <c r="P248" s="186">
        <f>COUNTIF(O$2:O248, TRUE)/(COUNTIF(O$2:O248,FALSE) + COUNTIF(O$2:O248, TRUE))</f>
        <v>0.49392712550607287</v>
      </c>
      <c r="Q248" s="174">
        <v>306053.2</v>
      </c>
      <c r="R248" s="174">
        <f t="shared" si="84"/>
        <v>54664.27999999997</v>
      </c>
      <c r="S248" s="174">
        <v>-53403</v>
      </c>
      <c r="T248" s="174">
        <f t="shared" si="85"/>
        <v>14120.479999999981</v>
      </c>
      <c r="U248" s="186">
        <f>STDEV(D$2:D248)*SQRT(252)</f>
        <v>0.17217875518634856</v>
      </c>
      <c r="V248" s="186">
        <f>STDEV(L$2:L248)*SQRT(252)</f>
        <v>0.36976250802064314</v>
      </c>
      <c r="W248" s="184">
        <f t="shared" si="71"/>
        <v>-0.26559290860964568</v>
      </c>
    </row>
    <row r="249" spans="1:23" ht="20.100000000000001" customHeight="1" x14ac:dyDescent="0.25">
      <c r="B249" s="173">
        <v>42591</v>
      </c>
      <c r="C249" s="217">
        <v>2181.89</v>
      </c>
      <c r="D249" s="172">
        <f t="shared" si="70"/>
        <v>4.5852839895638939E-4</v>
      </c>
      <c r="E249" s="211">
        <f t="shared" si="77"/>
        <v>3.7789425619756005E-2</v>
      </c>
      <c r="F249" s="221">
        <v>5214.1400000000003</v>
      </c>
      <c r="G249" s="172">
        <f t="shared" si="64"/>
        <v>1.9182297041706148E-4</v>
      </c>
      <c r="H249" s="205">
        <f t="shared" si="78"/>
        <v>2.4046978415853352E-2</v>
      </c>
      <c r="I249" s="223">
        <v>360792.14</v>
      </c>
      <c r="J249" s="174">
        <v>400000</v>
      </c>
      <c r="K249" s="174">
        <f t="shared" si="79"/>
        <v>74.660000000032596</v>
      </c>
      <c r="L249" s="172">
        <f t="shared" ref="L249:L260" si="86">K249/I248</f>
        <v>2.0697638495376658E-4</v>
      </c>
      <c r="M249" s="184">
        <f t="shared" si="80"/>
        <v>-39207.859999999986</v>
      </c>
      <c r="N249" s="186">
        <f t="shared" si="76"/>
        <v>-9.8019649999999958E-2</v>
      </c>
      <c r="O249" s="184" t="b">
        <f t="shared" si="81"/>
        <v>0</v>
      </c>
      <c r="P249" s="186">
        <f>COUNTIF(O$2:O249, TRUE)/(COUNTIF(O$2:O249,FALSE) + COUNTIF(O$2:O249, TRUE))</f>
        <v>0.49193548387096775</v>
      </c>
      <c r="Q249" s="174">
        <v>312485.65999999997</v>
      </c>
      <c r="R249" s="174">
        <f t="shared" si="84"/>
        <v>48306.48000000004</v>
      </c>
      <c r="S249" s="174">
        <v>-52872</v>
      </c>
      <c r="T249" s="174">
        <f t="shared" si="85"/>
        <v>13664.140000000014</v>
      </c>
      <c r="U249" s="186">
        <f>STDEV(D$2:D249)*SQRT(252)</f>
        <v>0.17182862889451342</v>
      </c>
      <c r="V249" s="186">
        <f>STDEV(L$2:L249)*SQRT(252)</f>
        <v>0.36901019344056429</v>
      </c>
      <c r="W249" s="184">
        <f t="shared" si="71"/>
        <v>-0.26562857000260015</v>
      </c>
    </row>
    <row r="250" spans="1:23" ht="20.100000000000001" customHeight="1" x14ac:dyDescent="0.25">
      <c r="B250" s="173">
        <v>42592</v>
      </c>
      <c r="C250" s="217">
        <v>2175.4899999999998</v>
      </c>
      <c r="D250" s="172">
        <f t="shared" si="70"/>
        <v>-2.9332367809560022E-3</v>
      </c>
      <c r="E250" s="211">
        <f t="shared" si="77"/>
        <v>3.4745343505640937E-2</v>
      </c>
      <c r="F250" s="221">
        <v>5204.58</v>
      </c>
      <c r="G250" s="172">
        <f t="shared" si="64"/>
        <v>-1.8334758943949338E-3</v>
      </c>
      <c r="H250" s="205">
        <f t="shared" si="78"/>
        <v>2.2169412966199915E-2</v>
      </c>
      <c r="I250" s="223">
        <v>354430.79</v>
      </c>
      <c r="J250" s="174">
        <v>400000</v>
      </c>
      <c r="K250" s="174">
        <f t="shared" si="79"/>
        <v>-6361.3500000000349</v>
      </c>
      <c r="L250" s="172">
        <f t="shared" si="86"/>
        <v>-1.7631620245385709E-2</v>
      </c>
      <c r="M250" s="184">
        <f t="shared" si="80"/>
        <v>-45569.210000000021</v>
      </c>
      <c r="N250" s="186">
        <f t="shared" si="76"/>
        <v>-0.11392302500000005</v>
      </c>
      <c r="O250" s="184" t="b">
        <f t="shared" si="81"/>
        <v>0</v>
      </c>
      <c r="P250" s="186">
        <f>COUNTIF(O$2:O250, TRUE)/(COUNTIF(O$2:O250,FALSE) + COUNTIF(O$2:O250, TRUE))</f>
        <v>0.48995983935742971</v>
      </c>
      <c r="Q250" s="174">
        <v>304644.53999999998</v>
      </c>
      <c r="R250" s="174">
        <f t="shared" si="84"/>
        <v>49786.25</v>
      </c>
      <c r="S250" s="174">
        <v>-58573</v>
      </c>
      <c r="T250" s="174">
        <f t="shared" si="85"/>
        <v>13003.789999999979</v>
      </c>
      <c r="U250" s="186">
        <f>STDEV(D$2:D250)*SQRT(252)</f>
        <v>0.17150968940597233</v>
      </c>
      <c r="V250" s="186">
        <f>STDEV(L$2:L250)*SQRT(252)</f>
        <v>0.36870219429475543</v>
      </c>
      <c r="W250" s="184">
        <f t="shared" si="71"/>
        <v>-0.30898385407743301</v>
      </c>
    </row>
    <row r="251" spans="1:23" ht="20.100000000000001" customHeight="1" x14ac:dyDescent="0.25">
      <c r="A251" s="167" t="s">
        <v>261</v>
      </c>
      <c r="B251" s="246">
        <v>42597</v>
      </c>
      <c r="C251" s="247">
        <v>2190.15</v>
      </c>
      <c r="D251" s="172">
        <f t="shared" si="70"/>
        <v>6.7387117385050311E-3</v>
      </c>
      <c r="E251" s="248">
        <f t="shared" si="77"/>
        <v>4.1718194098285817E-2</v>
      </c>
      <c r="F251" s="249">
        <v>5262.01</v>
      </c>
      <c r="G251" s="172">
        <f t="shared" si="64"/>
        <v>1.1034511910663356E-2</v>
      </c>
      <c r="H251" s="250">
        <f t="shared" si="78"/>
        <v>3.3448553528291222E-2</v>
      </c>
      <c r="I251" s="251">
        <v>368660.8</v>
      </c>
      <c r="J251" s="252">
        <v>400000</v>
      </c>
      <c r="K251" s="252">
        <f t="shared" si="79"/>
        <v>14230.010000000009</v>
      </c>
      <c r="L251" s="172">
        <f t="shared" si="86"/>
        <v>4.0148910313350626E-2</v>
      </c>
      <c r="M251" s="253">
        <f t="shared" si="80"/>
        <v>-31339.200000000012</v>
      </c>
      <c r="N251" s="254">
        <f t="shared" si="76"/>
        <v>-7.8348000000000029E-2</v>
      </c>
      <c r="O251" s="253" t="b">
        <f t="shared" si="81"/>
        <v>1</v>
      </c>
      <c r="P251" s="254">
        <f>COUNTIF(O$2:O251, TRUE)/(COUNTIF(O$2:O251,FALSE) + COUNTIF(O$2:O251, TRUE))</f>
        <v>0.49199999999999999</v>
      </c>
      <c r="Q251" s="252">
        <v>269504.8</v>
      </c>
      <c r="R251" s="252">
        <f t="shared" si="84"/>
        <v>99156</v>
      </c>
      <c r="S251" s="252">
        <v>-45515</v>
      </c>
      <c r="T251" s="252">
        <f t="shared" si="85"/>
        <v>14175.799999999988</v>
      </c>
      <c r="U251" s="254">
        <f>STDEV(D$2:D251)*SQRT(252)</f>
        <v>0.17129006286582368</v>
      </c>
      <c r="V251" s="254">
        <f>STDEV(L$2:L251)*SQRT(252)</f>
        <v>0.37015124159076757</v>
      </c>
      <c r="W251" s="253">
        <f t="shared" si="71"/>
        <v>-0.2116648310114819</v>
      </c>
    </row>
    <row r="252" spans="1:23" ht="20.100000000000001" customHeight="1" x14ac:dyDescent="0.25">
      <c r="B252" s="246">
        <v>42598</v>
      </c>
      <c r="C252" s="247">
        <v>2178.15</v>
      </c>
      <c r="D252" s="172">
        <f t="shared" si="70"/>
        <v>-5.479076775563317E-3</v>
      </c>
      <c r="E252" s="248">
        <f t="shared" si="77"/>
        <v>3.6010540134320139E-2</v>
      </c>
      <c r="F252" s="249">
        <v>5227.1099999999997</v>
      </c>
      <c r="G252" s="172">
        <f t="shared" si="64"/>
        <v>-6.6324465365897338E-3</v>
      </c>
      <c r="H252" s="250">
        <f t="shared" si="78"/>
        <v>2.6594261248698837E-2</v>
      </c>
      <c r="I252" s="251">
        <f>368660.8+2262.39</f>
        <v>370923.19</v>
      </c>
      <c r="J252" s="252">
        <v>400000</v>
      </c>
      <c r="K252" s="252">
        <f t="shared" si="79"/>
        <v>2262.390000000014</v>
      </c>
      <c r="L252" s="172">
        <f t="shared" si="86"/>
        <v>6.1367793917878281E-3</v>
      </c>
      <c r="M252" s="253">
        <f t="shared" si="80"/>
        <v>-29076.809999999998</v>
      </c>
      <c r="N252" s="254">
        <f t="shared" si="76"/>
        <v>-7.2692024999999993E-2</v>
      </c>
      <c r="O252" s="253" t="b">
        <f t="shared" si="81"/>
        <v>1</v>
      </c>
      <c r="P252" s="254">
        <f>COUNTIF(O$2:O252, TRUE)/(COUNTIF(O$2:O252,FALSE) + COUNTIF(O$2:O252, TRUE))</f>
        <v>0.49402390438247012</v>
      </c>
      <c r="Q252" s="252"/>
      <c r="R252" s="252"/>
      <c r="S252" s="252"/>
      <c r="T252" s="252"/>
      <c r="U252" s="254">
        <f>STDEV(D$2:D252)*SQRT(252)</f>
        <v>0.17104156878989371</v>
      </c>
      <c r="V252" s="254">
        <f>STDEV(L$2:L252)*SQRT(252)</f>
        <v>0.36945344751699344</v>
      </c>
      <c r="W252" s="253">
        <f t="shared" si="71"/>
        <v>-0.19675557364140292</v>
      </c>
    </row>
    <row r="253" spans="1:23" ht="20.100000000000001" customHeight="1" x14ac:dyDescent="0.25">
      <c r="B253" s="246">
        <v>42599</v>
      </c>
      <c r="C253" s="247">
        <v>2182.2199999999998</v>
      </c>
      <c r="D253" s="172">
        <f t="shared" si="70"/>
        <v>1.8685581801068378E-3</v>
      </c>
      <c r="E253" s="248">
        <f t="shared" si="77"/>
        <v>3.794638610376503E-2</v>
      </c>
      <c r="F253" s="249">
        <v>5228.6499999999996</v>
      </c>
      <c r="G253" s="172">
        <f t="shared" si="64"/>
        <v>2.946178672344687E-4</v>
      </c>
      <c r="H253" s="250">
        <f t="shared" si="78"/>
        <v>2.6896714260463073E-2</v>
      </c>
      <c r="I253" s="251">
        <v>375295.13</v>
      </c>
      <c r="J253" s="252">
        <v>400000</v>
      </c>
      <c r="K253" s="252">
        <f t="shared" si="79"/>
        <v>4371.9400000000023</v>
      </c>
      <c r="L253" s="172">
        <f t="shared" si="86"/>
        <v>1.1786645100296917E-2</v>
      </c>
      <c r="M253" s="253">
        <f t="shared" si="80"/>
        <v>-24704.869999999995</v>
      </c>
      <c r="N253" s="254">
        <f t="shared" si="76"/>
        <v>-6.1762174999999989E-2</v>
      </c>
      <c r="O253" s="253" t="b">
        <f t="shared" si="81"/>
        <v>1</v>
      </c>
      <c r="P253" s="254">
        <f>COUNTIF(O$2:O253, TRUE)/(COUNTIF(O$2:O253,FALSE) + COUNTIF(O$2:O253, TRUE))</f>
        <v>0.49603174603174605</v>
      </c>
      <c r="Q253" s="252">
        <v>255293.6</v>
      </c>
      <c r="R253" s="252">
        <f t="shared" ref="R253:R284" si="87">I253-Q253</f>
        <v>120001.53</v>
      </c>
      <c r="S253" s="252">
        <v>-39008</v>
      </c>
      <c r="T253" s="252">
        <f t="shared" ref="T253:T284" si="88">M253-S253</f>
        <v>14303.130000000005</v>
      </c>
      <c r="U253" s="254">
        <f>STDEV(D$2:D253)*SQRT(252)</f>
        <v>0.17070733564482474</v>
      </c>
      <c r="V253" s="254">
        <f>STDEV(L$2:L253)*SQRT(252)</f>
        <v>0.36889217852396583</v>
      </c>
      <c r="W253" s="253">
        <f t="shared" si="71"/>
        <v>-0.1674260897781206</v>
      </c>
    </row>
    <row r="254" spans="1:23" ht="20.100000000000001" customHeight="1" x14ac:dyDescent="0.25">
      <c r="B254" s="246">
        <v>42600</v>
      </c>
      <c r="C254" s="247">
        <v>2187.02</v>
      </c>
      <c r="D254" s="172">
        <f t="shared" si="70"/>
        <v>2.1995949079378716E-3</v>
      </c>
      <c r="E254" s="248">
        <f t="shared" si="77"/>
        <v>4.0229447689351383E-2</v>
      </c>
      <c r="F254" s="249">
        <v>5240.1400000000003</v>
      </c>
      <c r="G254" s="172">
        <f t="shared" si="64"/>
        <v>2.1975079609460745E-3</v>
      </c>
      <c r="H254" s="250">
        <f t="shared" si="78"/>
        <v>2.9153327965119807E-2</v>
      </c>
      <c r="I254" s="251">
        <v>382262.83</v>
      </c>
      <c r="J254" s="252">
        <v>400000</v>
      </c>
      <c r="K254" s="252">
        <f t="shared" si="79"/>
        <v>6967.7000000000116</v>
      </c>
      <c r="L254" s="172">
        <f t="shared" si="86"/>
        <v>1.8565921705405587E-2</v>
      </c>
      <c r="M254" s="253">
        <f t="shared" ref="M254:M259" si="89">I254-J254</f>
        <v>-17737.169999999984</v>
      </c>
      <c r="N254" s="254">
        <f t="shared" ref="N254:N285" si="90">M254/J254</f>
        <v>-4.4342924999999957E-2</v>
      </c>
      <c r="O254" s="253" t="b">
        <f t="shared" si="81"/>
        <v>1</v>
      </c>
      <c r="P254" s="254">
        <f>COUNTIF(O$2:O254, TRUE)/(COUNTIF(O$2:O254,FALSE) + COUNTIF(O$2:O254, TRUE))</f>
        <v>0.49802371541501977</v>
      </c>
      <c r="Q254" s="252">
        <v>234684.9</v>
      </c>
      <c r="R254" s="252">
        <f t="shared" si="87"/>
        <v>147577.93000000002</v>
      </c>
      <c r="S254" s="252">
        <v>-32026</v>
      </c>
      <c r="T254" s="252">
        <f t="shared" si="88"/>
        <v>14288.830000000016</v>
      </c>
      <c r="U254" s="254">
        <f>STDEV(D$2:D254)*SQRT(252)</f>
        <v>0.17037860468394234</v>
      </c>
      <c r="V254" s="254">
        <f>STDEV(L$2:L254)*SQRT(252)</f>
        <v>0.36860527111095059</v>
      </c>
      <c r="W254" s="253">
        <f t="shared" si="71"/>
        <v>-0.12029921565243348</v>
      </c>
    </row>
    <row r="255" spans="1:23" ht="20.100000000000001" customHeight="1" x14ac:dyDescent="0.25">
      <c r="B255" s="246">
        <v>42601</v>
      </c>
      <c r="C255" s="247">
        <v>2183.87</v>
      </c>
      <c r="D255" s="172">
        <f t="shared" si="70"/>
        <v>-1.4403160464925291E-3</v>
      </c>
      <c r="E255" s="248">
        <f t="shared" si="77"/>
        <v>3.8731188523810349E-2</v>
      </c>
      <c r="F255" s="249">
        <v>5238.37</v>
      </c>
      <c r="G255" s="172">
        <f t="shared" si="64"/>
        <v>-3.377772349594546E-4</v>
      </c>
      <c r="H255" s="250">
        <f t="shared" si="78"/>
        <v>2.8805703399650426E-2</v>
      </c>
      <c r="I255" s="251">
        <v>382810.75</v>
      </c>
      <c r="J255" s="252">
        <v>400000</v>
      </c>
      <c r="K255" s="252">
        <f t="shared" si="79"/>
        <v>547.9199999999837</v>
      </c>
      <c r="L255" s="172">
        <f t="shared" si="86"/>
        <v>1.4333593459766509E-3</v>
      </c>
      <c r="M255" s="253">
        <f t="shared" si="89"/>
        <v>-17189.25</v>
      </c>
      <c r="N255" s="254">
        <f t="shared" si="90"/>
        <v>-4.2973125000000001E-2</v>
      </c>
      <c r="O255" s="253" t="b">
        <f t="shared" si="81"/>
        <v>1</v>
      </c>
      <c r="P255" s="254">
        <f>COUNTIF(O$2:O255, TRUE)/(COUNTIF(O$2:O255,FALSE) + COUNTIF(O$2:O255, TRUE))</f>
        <v>0.5</v>
      </c>
      <c r="Q255" s="252">
        <v>232963</v>
      </c>
      <c r="R255" s="252">
        <f t="shared" si="87"/>
        <v>149847.75</v>
      </c>
      <c r="S255" s="252">
        <v>-31491</v>
      </c>
      <c r="T255" s="252">
        <f t="shared" si="88"/>
        <v>14301.75</v>
      </c>
      <c r="U255" s="254">
        <f>STDEV(D$2:D255)*SQRT(252)</f>
        <v>0.17004823124419763</v>
      </c>
      <c r="V255" s="254">
        <f>STDEV(L$2:L255)*SQRT(252)</f>
        <v>0.36787447588145594</v>
      </c>
      <c r="W255" s="253">
        <f t="shared" si="71"/>
        <v>-0.11681464145353668</v>
      </c>
    </row>
    <row r="256" spans="1:23" ht="20.100000000000001" customHeight="1" x14ac:dyDescent="0.25">
      <c r="B256" s="173">
        <v>42604</v>
      </c>
      <c r="C256" s="217">
        <v>2182.64</v>
      </c>
      <c r="D256" s="172">
        <f t="shared" si="70"/>
        <v>-5.6322033820695291E-4</v>
      </c>
      <c r="E256" s="211">
        <f t="shared" ref="E256:E287" si="91">(C256-$C$2)/$C$2</f>
        <v>3.8146153992503859E-2</v>
      </c>
      <c r="F256" s="221">
        <v>5244.6</v>
      </c>
      <c r="G256" s="172">
        <f t="shared" ref="G256:G261" si="92">(F256-F255)/F255</f>
        <v>1.1893012521071388E-3</v>
      </c>
      <c r="H256" s="205">
        <f t="shared" ref="H256:H287" si="93">(F256-F$2)/F$2</f>
        <v>3.0029263310878598E-2</v>
      </c>
      <c r="I256" s="223">
        <v>377083.42</v>
      </c>
      <c r="J256" s="174">
        <v>400000</v>
      </c>
      <c r="K256" s="174">
        <f t="shared" ref="K256:K287" si="94">I256-I255-J256+J255</f>
        <v>-5727.3300000000163</v>
      </c>
      <c r="L256" s="172">
        <f t="shared" si="86"/>
        <v>-1.4961256965746171E-2</v>
      </c>
      <c r="M256" s="184">
        <f t="shared" si="89"/>
        <v>-22916.580000000016</v>
      </c>
      <c r="N256" s="186">
        <f t="shared" si="90"/>
        <v>-5.7291450000000042E-2</v>
      </c>
      <c r="O256" s="184" t="b">
        <f t="shared" ref="O256:O287" si="95">L256&gt;D256</f>
        <v>0</v>
      </c>
      <c r="P256" s="186">
        <f>COUNTIF(O$2:O256, TRUE)/(COUNTIF(O$2:O256,FALSE) + COUNTIF(O$2:O256, TRUE))</f>
        <v>0.49803921568627452</v>
      </c>
      <c r="Q256" s="174">
        <v>255242.1</v>
      </c>
      <c r="R256" s="174">
        <f t="shared" si="87"/>
        <v>121841.31999999998</v>
      </c>
      <c r="S256" s="174">
        <v>-37372</v>
      </c>
      <c r="T256" s="174">
        <f t="shared" si="88"/>
        <v>14455.419999999984</v>
      </c>
      <c r="U256" s="186">
        <f>STDEV(D$2:D256)*SQRT(252)</f>
        <v>0.1697135708935549</v>
      </c>
      <c r="V256" s="186">
        <f>STDEV(L$2:L256)*SQRT(252)</f>
        <v>0.36746793184663218</v>
      </c>
      <c r="W256" s="184">
        <f t="shared" si="71"/>
        <v>-0.15590870667841411</v>
      </c>
    </row>
    <row r="257" spans="2:23" ht="20.100000000000001" customHeight="1" x14ac:dyDescent="0.25">
      <c r="B257" s="173">
        <v>42605</v>
      </c>
      <c r="C257" s="217">
        <v>2186.9</v>
      </c>
      <c r="D257" s="172">
        <f t="shared" ref="D257:D263" si="96">(C257-C256)/C256</f>
        <v>1.951764835245491E-3</v>
      </c>
      <c r="E257" s="211">
        <f t="shared" si="91"/>
        <v>4.0172371149711783E-2</v>
      </c>
      <c r="F257" s="221">
        <v>5260.07</v>
      </c>
      <c r="G257" s="172">
        <f t="shared" si="92"/>
        <v>2.9497006444722845E-3</v>
      </c>
      <c r="H257" s="205">
        <f t="shared" si="93"/>
        <v>3.3067541292692008E-2</v>
      </c>
      <c r="I257" s="223">
        <v>383610.05</v>
      </c>
      <c r="J257" s="174">
        <v>400000</v>
      </c>
      <c r="K257" s="174">
        <f t="shared" si="94"/>
        <v>6526.6300000000047</v>
      </c>
      <c r="L257" s="172">
        <f t="shared" si="86"/>
        <v>1.7308186077234593E-2</v>
      </c>
      <c r="M257" s="184">
        <f t="shared" si="89"/>
        <v>-16389.950000000012</v>
      </c>
      <c r="N257" s="186">
        <f t="shared" si="90"/>
        <v>-4.0974875000000029E-2</v>
      </c>
      <c r="O257" s="184" t="b">
        <f t="shared" si="95"/>
        <v>1</v>
      </c>
      <c r="P257" s="186">
        <f>COUNTIF(O$2:O257, TRUE)/(COUNTIF(O$2:O257,FALSE) + COUNTIF(O$2:O257, TRUE))</f>
        <v>0.5</v>
      </c>
      <c r="Q257" s="174">
        <v>237329.4</v>
      </c>
      <c r="R257" s="174">
        <f t="shared" si="87"/>
        <v>146280.65</v>
      </c>
      <c r="S257" s="174">
        <v>-30977</v>
      </c>
      <c r="T257" s="174">
        <f t="shared" si="88"/>
        <v>14587.049999999988</v>
      </c>
      <c r="U257" s="186">
        <f>STDEV(D$2:D257)*SQRT(252)</f>
        <v>0.16938806622202984</v>
      </c>
      <c r="V257" s="186">
        <f>STDEV(L$2:L257)*SQRT(252)</f>
        <v>0.36712884125938189</v>
      </c>
      <c r="W257" s="184">
        <f t="shared" si="71"/>
        <v>-0.1116089786338815</v>
      </c>
    </row>
    <row r="258" spans="2:23" ht="20.100000000000001" customHeight="1" x14ac:dyDescent="0.25">
      <c r="B258" s="173">
        <v>42606</v>
      </c>
      <c r="C258" s="217">
        <v>2175.44</v>
      </c>
      <c r="D258" s="172">
        <f t="shared" si="96"/>
        <v>-5.2402944807718854E-3</v>
      </c>
      <c r="E258" s="211">
        <f t="shared" si="91"/>
        <v>3.4721561614124541E-2</v>
      </c>
      <c r="F258" s="221">
        <v>5217.6899999999996</v>
      </c>
      <c r="G258" s="172">
        <f t="shared" si="92"/>
        <v>-8.0569269990703758E-3</v>
      </c>
      <c r="H258" s="205">
        <f t="shared" si="93"/>
        <v>2.4744191527387667E-2</v>
      </c>
      <c r="I258" s="223">
        <f>379998.45+9.8</f>
        <v>380008.25</v>
      </c>
      <c r="J258" s="174">
        <v>400000</v>
      </c>
      <c r="K258" s="174">
        <f t="shared" si="94"/>
        <v>-3601.7999999999884</v>
      </c>
      <c r="L258" s="172">
        <f t="shared" si="86"/>
        <v>-9.3892222062482156E-3</v>
      </c>
      <c r="M258" s="184">
        <f t="shared" si="89"/>
        <v>-19991.75</v>
      </c>
      <c r="N258" s="186">
        <f t="shared" si="90"/>
        <v>-4.9979374999999999E-2</v>
      </c>
      <c r="O258" s="184" t="b">
        <f t="shared" si="95"/>
        <v>0</v>
      </c>
      <c r="P258" s="186">
        <f>COUNTIF(O$2:O258, TRUE)/(COUNTIF(O$2:O258,FALSE) + COUNTIF(O$2:O258, TRUE))</f>
        <v>0.49805447470817121</v>
      </c>
      <c r="Q258" s="174">
        <v>233717.8</v>
      </c>
      <c r="R258" s="174">
        <f t="shared" si="87"/>
        <v>146290.45000000001</v>
      </c>
      <c r="S258" s="174">
        <v>-34657</v>
      </c>
      <c r="T258" s="174">
        <f t="shared" si="88"/>
        <v>14665.25</v>
      </c>
      <c r="U258" s="186">
        <f>STDEV(D$2:D258)*SQRT(252)</f>
        <v>0.1691421099558785</v>
      </c>
      <c r="V258" s="186">
        <f>STDEV(L$2:L258)*SQRT(252)</f>
        <v>0.36653871966751894</v>
      </c>
      <c r="W258" s="184">
        <f t="shared" si="71"/>
        <v>-0.13635496693319452</v>
      </c>
    </row>
    <row r="259" spans="2:23" ht="20.100000000000001" customHeight="1" x14ac:dyDescent="0.25">
      <c r="B259" s="173">
        <v>42607</v>
      </c>
      <c r="C259" s="217">
        <v>2172.4699999999998</v>
      </c>
      <c r="D259" s="172">
        <f t="shared" si="96"/>
        <v>-1.3652410546833075E-3</v>
      </c>
      <c r="E259" s="211">
        <f t="shared" si="91"/>
        <v>3.3308917258042914E-2</v>
      </c>
      <c r="F259" s="221">
        <v>5212.2</v>
      </c>
      <c r="G259" s="172">
        <f t="shared" si="92"/>
        <v>-1.0521897621360759E-3</v>
      </c>
      <c r="H259" s="205">
        <f t="shared" si="93"/>
        <v>2.3665966180254142E-2</v>
      </c>
      <c r="I259" s="223">
        <v>380752.59</v>
      </c>
      <c r="J259" s="174">
        <v>400000</v>
      </c>
      <c r="K259" s="174">
        <f t="shared" si="94"/>
        <v>744.34000000002561</v>
      </c>
      <c r="L259" s="172">
        <f t="shared" si="86"/>
        <v>1.9587469482571116E-3</v>
      </c>
      <c r="M259" s="184">
        <f t="shared" si="89"/>
        <v>-19247.409999999974</v>
      </c>
      <c r="N259" s="186">
        <f t="shared" si="90"/>
        <v>-4.8118524999999933E-2</v>
      </c>
      <c r="O259" s="184" t="b">
        <f t="shared" si="95"/>
        <v>1</v>
      </c>
      <c r="P259" s="186">
        <f>COUNTIF(O$2:O259, TRUE)/(COUNTIF(O$2:O259,FALSE) + COUNTIF(O$2:O259, TRUE))</f>
        <v>0.5</v>
      </c>
      <c r="Q259" s="174">
        <v>237299.38</v>
      </c>
      <c r="R259" s="174">
        <f t="shared" si="87"/>
        <v>143453.21000000002</v>
      </c>
      <c r="S259" s="174">
        <v>-33721</v>
      </c>
      <c r="T259" s="174">
        <f t="shared" si="88"/>
        <v>14473.590000000026</v>
      </c>
      <c r="U259" s="186">
        <f>STDEV(D$2:D259)*SQRT(252)</f>
        <v>0.16881845547722549</v>
      </c>
      <c r="V259" s="186">
        <f>STDEV(L$2:L259)*SQRT(252)</f>
        <v>0.36582526513101316</v>
      </c>
      <c r="W259" s="184">
        <f t="shared" ref="W259:W279" si="97">N259/V259</f>
        <v>-0.13153417652213611</v>
      </c>
    </row>
    <row r="260" spans="2:23" ht="20.100000000000001" customHeight="1" x14ac:dyDescent="0.25">
      <c r="B260" s="173">
        <v>42608</v>
      </c>
      <c r="C260" s="217">
        <v>2169.04</v>
      </c>
      <c r="D260" s="172">
        <f t="shared" si="96"/>
        <v>-1.578848039328431E-3</v>
      </c>
      <c r="E260" s="211">
        <f t="shared" si="91"/>
        <v>3.1677479500009466E-2</v>
      </c>
      <c r="F260" s="221">
        <v>5218.91</v>
      </c>
      <c r="G260" s="172">
        <f t="shared" si="92"/>
        <v>1.2873642607728092E-3</v>
      </c>
      <c r="H260" s="205">
        <f t="shared" si="93"/>
        <v>2.4983797160084066E-2</v>
      </c>
      <c r="I260" s="223">
        <v>381100.52</v>
      </c>
      <c r="J260" s="174">
        <v>400000</v>
      </c>
      <c r="K260" s="174">
        <f t="shared" si="94"/>
        <v>347.92999999999302</v>
      </c>
      <c r="L260" s="172">
        <f t="shared" si="86"/>
        <v>9.1379549118757934E-4</v>
      </c>
      <c r="M260" s="184">
        <f t="shared" ref="M260:M273" si="98">I260-J260</f>
        <v>-18899.479999999981</v>
      </c>
      <c r="N260" s="186">
        <f t="shared" si="90"/>
        <v>-4.7248699999999956E-2</v>
      </c>
      <c r="O260" s="184" t="b">
        <f t="shared" si="95"/>
        <v>1</v>
      </c>
      <c r="P260" s="186">
        <f>COUNTIF(O$2:O260, TRUE)/(COUNTIF(O$2:O260,FALSE) + COUNTIF(O$2:O260, TRUE))</f>
        <v>0.50193050193050193</v>
      </c>
      <c r="Q260" s="174">
        <v>258954.3</v>
      </c>
      <c r="R260" s="174">
        <f t="shared" si="87"/>
        <v>122146.22000000003</v>
      </c>
      <c r="S260" s="174">
        <v>-33067</v>
      </c>
      <c r="T260" s="174">
        <f t="shared" si="88"/>
        <v>14167.520000000019</v>
      </c>
      <c r="U260" s="186">
        <f>STDEV(D$2:D260)*SQRT(252)</f>
        <v>0.16849870140291789</v>
      </c>
      <c r="V260" s="186">
        <f>STDEV(L$2:L260)*SQRT(252)</f>
        <v>0.36511315760461099</v>
      </c>
      <c r="W260" s="184">
        <f t="shared" si="97"/>
        <v>-0.1294083738586233</v>
      </c>
    </row>
    <row r="261" spans="2:23" ht="20.100000000000001" customHeight="1" x14ac:dyDescent="0.25">
      <c r="B261" s="246">
        <v>42611</v>
      </c>
      <c r="C261" s="247">
        <v>2180.38</v>
      </c>
      <c r="D261" s="172">
        <f t="shared" si="96"/>
        <v>5.2281193523402731E-3</v>
      </c>
      <c r="E261" s="248">
        <f t="shared" si="91"/>
        <v>3.7071212495957101E-2</v>
      </c>
      <c r="F261" s="249">
        <v>5232.32</v>
      </c>
      <c r="G261" s="172">
        <f t="shared" si="92"/>
        <v>2.569502060775115E-3</v>
      </c>
      <c r="H261" s="250">
        <f t="shared" si="93"/>
        <v>2.7617495139148004E-2</v>
      </c>
      <c r="I261" s="251">
        <v>382828.93</v>
      </c>
      <c r="J261" s="252">
        <v>400000</v>
      </c>
      <c r="K261" s="252">
        <f t="shared" si="94"/>
        <v>1728.4099999999744</v>
      </c>
      <c r="L261" s="172">
        <f>K261/I260</f>
        <v>4.5353126256557569E-3</v>
      </c>
      <c r="M261" s="253">
        <f t="shared" si="98"/>
        <v>-17171.070000000007</v>
      </c>
      <c r="N261" s="254">
        <f t="shared" si="90"/>
        <v>-4.2927675000000019E-2</v>
      </c>
      <c r="O261" s="253" t="b">
        <f t="shared" si="95"/>
        <v>0</v>
      </c>
      <c r="P261" s="254">
        <f>COUNTIF(O$2:O261, TRUE)/(COUNTIF(O$2:O261,FALSE) + COUNTIF(O$2:O261, TRUE))</f>
        <v>0.5</v>
      </c>
      <c r="Q261" s="252">
        <v>260300.32</v>
      </c>
      <c r="R261" s="252">
        <f t="shared" si="87"/>
        <v>122528.60999999999</v>
      </c>
      <c r="S261" s="252">
        <v>-31777</v>
      </c>
      <c r="T261" s="252">
        <f t="shared" si="88"/>
        <v>14605.929999999993</v>
      </c>
      <c r="U261" s="254">
        <f>STDEV(D$2:D261)*SQRT(252)</f>
        <v>0.16824562360938053</v>
      </c>
      <c r="V261" s="254">
        <f>STDEV(L$2:L261)*SQRT(252)</f>
        <v>0.36442732658879068</v>
      </c>
      <c r="W261" s="253">
        <f t="shared" si="97"/>
        <v>-0.11779488492760141</v>
      </c>
    </row>
    <row r="262" spans="2:23" ht="20.100000000000001" customHeight="1" x14ac:dyDescent="0.25">
      <c r="B262" s="246">
        <v>42612</v>
      </c>
      <c r="C262" s="247">
        <v>2176.12</v>
      </c>
      <c r="D262" s="172">
        <f t="shared" si="96"/>
        <v>-1.9537878718389537E-3</v>
      </c>
      <c r="E262" s="248">
        <f t="shared" si="91"/>
        <v>3.5044995338749184E-2</v>
      </c>
      <c r="F262" s="249">
        <v>5222.9799999999996</v>
      </c>
      <c r="G262" s="172">
        <f>(F262-F261)/F261</f>
        <v>-1.7850590177971046E-3</v>
      </c>
      <c r="H262" s="250">
        <f t="shared" si="93"/>
        <v>2.5783137262603797E-2</v>
      </c>
      <c r="I262" s="251">
        <v>379406.56</v>
      </c>
      <c r="J262" s="252">
        <v>400000</v>
      </c>
      <c r="K262" s="252">
        <f t="shared" si="94"/>
        <v>-3422.3699999999953</v>
      </c>
      <c r="L262" s="172">
        <f>K262/I261</f>
        <v>-8.9396848874508921E-3</v>
      </c>
      <c r="M262" s="253">
        <f t="shared" si="98"/>
        <v>-20593.440000000002</v>
      </c>
      <c r="N262" s="254">
        <f t="shared" si="90"/>
        <v>-5.1483600000000004E-2</v>
      </c>
      <c r="O262" s="253" t="b">
        <f t="shared" si="95"/>
        <v>0</v>
      </c>
      <c r="P262" s="254">
        <f>COUNTIF(O$2:O262, TRUE)/(COUNTIF(O$2:O262,FALSE) + COUNTIF(O$2:O262, TRUE))</f>
        <v>0.49808429118773945</v>
      </c>
      <c r="Q262" s="252">
        <v>274968.95</v>
      </c>
      <c r="R262" s="252">
        <f t="shared" si="87"/>
        <v>104437.60999999999</v>
      </c>
      <c r="S262" s="252">
        <v>-35414</v>
      </c>
      <c r="T262" s="252">
        <f t="shared" si="88"/>
        <v>14820.559999999998</v>
      </c>
      <c r="U262" s="254">
        <f>STDEV(D$2:D262)*SQRT(252)</f>
        <v>0.16793385572919492</v>
      </c>
      <c r="V262" s="254">
        <f>STDEV(L$2:L262)*SQRT(252)</f>
        <v>0.36384060156715331</v>
      </c>
      <c r="W262" s="253">
        <f t="shared" si="97"/>
        <v>-0.14150042567609866</v>
      </c>
    </row>
    <row r="263" spans="2:23" ht="20.100000000000001" customHeight="1" x14ac:dyDescent="0.25">
      <c r="B263" s="246">
        <v>42613</v>
      </c>
      <c r="C263" s="247">
        <v>2170.94</v>
      </c>
      <c r="D263" s="172">
        <f t="shared" si="96"/>
        <v>-2.3803834347369797E-3</v>
      </c>
      <c r="E263" s="248">
        <f t="shared" si="91"/>
        <v>3.258119137763741E-2</v>
      </c>
      <c r="F263" s="249">
        <v>5213.22</v>
      </c>
      <c r="G263" s="172">
        <f t="shared" ref="G263:G270" si="99">(F263-F262)/F262</f>
        <v>-1.8686650149913094E-3</v>
      </c>
      <c r="H263" s="250">
        <f t="shared" si="93"/>
        <v>2.3866292201033139E-2</v>
      </c>
      <c r="I263" s="482">
        <v>375078.22</v>
      </c>
      <c r="J263" s="252">
        <v>400000</v>
      </c>
      <c r="K263" s="252">
        <f t="shared" si="94"/>
        <v>-4328.3400000000256</v>
      </c>
      <c r="L263" s="172">
        <f>K263/I262</f>
        <v>-1.1408184402504863E-2</v>
      </c>
      <c r="M263" s="253">
        <f t="shared" si="98"/>
        <v>-24921.780000000028</v>
      </c>
      <c r="N263" s="254">
        <f t="shared" si="90"/>
        <v>-6.2304450000000067E-2</v>
      </c>
      <c r="O263" s="253" t="b">
        <f t="shared" si="95"/>
        <v>0</v>
      </c>
      <c r="P263" s="254">
        <f>COUNTIF(O$2:O263, TRUE)/(COUNTIF(O$2:O263,FALSE) + COUNTIF(O$2:O263, TRUE))</f>
        <v>0.49618320610687022</v>
      </c>
      <c r="Q263" s="252">
        <v>285803.11</v>
      </c>
      <c r="R263" s="252">
        <f t="shared" si="87"/>
        <v>89275.109999999986</v>
      </c>
      <c r="S263" s="252">
        <v>-39480</v>
      </c>
      <c r="T263" s="252">
        <f t="shared" si="88"/>
        <v>14558.219999999972</v>
      </c>
      <c r="U263" s="254">
        <f>STDEV(D$2:D263)*SQRT(252)</f>
        <v>0.16762959845319877</v>
      </c>
      <c r="V263" s="254">
        <f>STDEV(L$2:L263)*SQRT(252)</f>
        <v>0.36332602481523973</v>
      </c>
      <c r="W263" s="253">
        <f t="shared" si="97"/>
        <v>-0.17148358703917072</v>
      </c>
    </row>
    <row r="264" spans="2:23" ht="20.100000000000001" customHeight="1" x14ac:dyDescent="0.25">
      <c r="B264" s="246">
        <v>42614</v>
      </c>
      <c r="C264" s="247">
        <v>2170.86</v>
      </c>
      <c r="D264" s="172">
        <f t="shared" ref="D264:D270" si="100">(C264-C263)/C263</f>
        <v>-3.6850396602359916E-5</v>
      </c>
      <c r="E264" s="248">
        <f t="shared" si="91"/>
        <v>3.254314035121101E-2</v>
      </c>
      <c r="F264" s="249">
        <v>5227.2</v>
      </c>
      <c r="G264" s="172">
        <f t="shared" si="99"/>
        <v>2.6816439743574151E-3</v>
      </c>
      <c r="H264" s="250">
        <f t="shared" si="93"/>
        <v>2.661193707406171E-2</v>
      </c>
      <c r="I264" s="251">
        <v>374158.47</v>
      </c>
      <c r="J264" s="252">
        <v>400000</v>
      </c>
      <c r="K264" s="252">
        <f t="shared" si="94"/>
        <v>-919.75</v>
      </c>
      <c r="L264" s="172">
        <f t="shared" ref="L264:L269" si="101">K264/I263</f>
        <v>-2.4521551797915646E-3</v>
      </c>
      <c r="M264" s="253">
        <f t="shared" si="98"/>
        <v>-25841.530000000028</v>
      </c>
      <c r="N264" s="254">
        <f t="shared" si="90"/>
        <v>-6.4603825000000073E-2</v>
      </c>
      <c r="O264" s="253" t="b">
        <f t="shared" si="95"/>
        <v>0</v>
      </c>
      <c r="P264" s="254">
        <f>COUNTIF(O$2:O264, TRUE)/(COUNTIF(O$2:O264,FALSE) + COUNTIF(O$2:O264, TRUE))</f>
        <v>0.49429657794676807</v>
      </c>
      <c r="Q264" s="252">
        <v>284793.13</v>
      </c>
      <c r="R264" s="252">
        <f t="shared" si="87"/>
        <v>89365.339999999967</v>
      </c>
      <c r="S264" s="252">
        <v>-40089</v>
      </c>
      <c r="T264" s="252">
        <f t="shared" si="88"/>
        <v>14247.469999999972</v>
      </c>
      <c r="U264" s="254">
        <f>STDEV(D$2:D264)*SQRT(252)</f>
        <v>0.16730829405773207</v>
      </c>
      <c r="V264" s="254">
        <f>STDEV(L$2:L264)*SQRT(252)</f>
        <v>0.36263989119612255</v>
      </c>
      <c r="W264" s="253">
        <f t="shared" si="97"/>
        <v>-0.17814869949059492</v>
      </c>
    </row>
    <row r="265" spans="2:23" ht="20.100000000000001" customHeight="1" x14ac:dyDescent="0.25">
      <c r="B265" s="246">
        <v>42615</v>
      </c>
      <c r="C265" s="247">
        <v>2179.98</v>
      </c>
      <c r="D265" s="172">
        <f t="shared" si="100"/>
        <v>4.2011000248748835E-3</v>
      </c>
      <c r="E265" s="248">
        <f t="shared" si="91"/>
        <v>3.6880957363824872E-2</v>
      </c>
      <c r="F265" s="249">
        <v>5249.89</v>
      </c>
      <c r="G265" s="172">
        <f t="shared" si="99"/>
        <v>4.3407560453015978E-3</v>
      </c>
      <c r="H265" s="250">
        <f t="shared" si="93"/>
        <v>3.1068209046094725E-2</v>
      </c>
      <c r="I265" s="251">
        <v>379833.49</v>
      </c>
      <c r="J265" s="252">
        <v>400000</v>
      </c>
      <c r="K265" s="252">
        <f t="shared" si="94"/>
        <v>5675.0200000000186</v>
      </c>
      <c r="L265" s="172">
        <f t="shared" si="101"/>
        <v>1.5167423578570916E-2</v>
      </c>
      <c r="M265" s="253">
        <f t="shared" si="98"/>
        <v>-20166.510000000009</v>
      </c>
      <c r="N265" s="254">
        <f t="shared" si="90"/>
        <v>-5.0416275000000024E-2</v>
      </c>
      <c r="O265" s="253" t="b">
        <f t="shared" si="95"/>
        <v>1</v>
      </c>
      <c r="P265" s="254">
        <f>COUNTIF(O$2:O265, TRUE)/(COUNTIF(O$2:O265,FALSE) + COUNTIF(O$2:O265, TRUE))</f>
        <v>0.49621212121212122</v>
      </c>
      <c r="Q265" s="252">
        <v>279915.57</v>
      </c>
      <c r="R265" s="252">
        <f t="shared" si="87"/>
        <v>99917.919999999984</v>
      </c>
      <c r="S265" s="252">
        <v>-35299</v>
      </c>
      <c r="T265" s="252">
        <f t="shared" si="88"/>
        <v>15132.489999999991</v>
      </c>
      <c r="U265" s="254">
        <f>STDEV(D$2:D265)*SQRT(252)</f>
        <v>0.16703513483712773</v>
      </c>
      <c r="V265" s="254">
        <f>STDEV(L$2:L265)*SQRT(252)</f>
        <v>0.3622373095628969</v>
      </c>
      <c r="W265" s="253">
        <f t="shared" si="97"/>
        <v>-0.13918023811748198</v>
      </c>
    </row>
    <row r="266" spans="2:23" ht="20.100000000000001" customHeight="1" x14ac:dyDescent="0.25">
      <c r="B266" s="173">
        <v>42619</v>
      </c>
      <c r="C266" s="217">
        <v>2186.48</v>
      </c>
      <c r="D266" s="172">
        <f t="shared" si="100"/>
        <v>2.9816787309975322E-3</v>
      </c>
      <c r="E266" s="211">
        <f t="shared" si="91"/>
        <v>3.9972603260972947E-2</v>
      </c>
      <c r="F266" s="221">
        <v>5275.9</v>
      </c>
      <c r="G266" s="172">
        <f t="shared" si="99"/>
        <v>4.9543895205422031E-3</v>
      </c>
      <c r="H266" s="205">
        <f t="shared" si="93"/>
        <v>3.6176522575956917E-2</v>
      </c>
      <c r="I266" s="223">
        <v>382927.8</v>
      </c>
      <c r="J266" s="174">
        <v>400000</v>
      </c>
      <c r="K266" s="174">
        <f t="shared" si="94"/>
        <v>3094.3099999999977</v>
      </c>
      <c r="L266" s="172">
        <f t="shared" si="101"/>
        <v>8.1464907162346265E-3</v>
      </c>
      <c r="M266" s="184">
        <f t="shared" si="98"/>
        <v>-17072.200000000012</v>
      </c>
      <c r="N266" s="186">
        <f t="shared" si="90"/>
        <v>-4.2680500000000031E-2</v>
      </c>
      <c r="O266" s="184" t="b">
        <f t="shared" si="95"/>
        <v>1</v>
      </c>
      <c r="P266" s="186">
        <f>COUNTIF(O$2:O266, TRUE)/(COUNTIF(O$2:O266,FALSE) + COUNTIF(O$2:O266, TRUE))</f>
        <v>0.49811320754716981</v>
      </c>
      <c r="Q266" s="174">
        <v>288323.67</v>
      </c>
      <c r="R266" s="174">
        <f t="shared" si="87"/>
        <v>94604.13</v>
      </c>
      <c r="S266" s="174">
        <v>-32869</v>
      </c>
      <c r="T266" s="174">
        <f t="shared" si="88"/>
        <v>15796.799999999988</v>
      </c>
      <c r="U266" s="186">
        <f>STDEV(D$2:D266)*SQRT(252)</f>
        <v>0.16673953715434717</v>
      </c>
      <c r="V266" s="186">
        <f>STDEV(L$2:L266)*SQRT(252)</f>
        <v>0.36162688235726198</v>
      </c>
      <c r="W266" s="184">
        <f t="shared" si="97"/>
        <v>-0.11802358199088389</v>
      </c>
    </row>
    <row r="267" spans="2:23" ht="20.100000000000001" customHeight="1" x14ac:dyDescent="0.25">
      <c r="B267" s="173">
        <v>42620</v>
      </c>
      <c r="C267" s="217">
        <v>2186.16</v>
      </c>
      <c r="D267" s="172">
        <f t="shared" si="100"/>
        <v>-1.4635395704518849E-4</v>
      </c>
      <c r="E267" s="211">
        <f t="shared" si="91"/>
        <v>3.9820399155267118E-2</v>
      </c>
      <c r="F267" s="221">
        <v>5283.92</v>
      </c>
      <c r="G267" s="172">
        <f t="shared" si="99"/>
        <v>1.5201197899885209E-3</v>
      </c>
      <c r="H267" s="205">
        <f t="shared" si="93"/>
        <v>3.7751635013846117E-2</v>
      </c>
      <c r="I267" s="223">
        <v>386953.84</v>
      </c>
      <c r="J267" s="174">
        <v>400000</v>
      </c>
      <c r="K267" s="174">
        <f t="shared" si="94"/>
        <v>4026.0400000000373</v>
      </c>
      <c r="L267" s="172">
        <f t="shared" si="101"/>
        <v>1.0513835767473757E-2</v>
      </c>
      <c r="M267" s="184">
        <f t="shared" si="98"/>
        <v>-13046.159999999974</v>
      </c>
      <c r="N267" s="186">
        <f t="shared" si="90"/>
        <v>-3.2615399999999933E-2</v>
      </c>
      <c r="O267" s="184" t="b">
        <f t="shared" si="95"/>
        <v>1</v>
      </c>
      <c r="P267" s="186">
        <f>COUNTIF(O$2:O267, TRUE)/(COUNTIF(O$2:O267,FALSE) + COUNTIF(O$2:O267, TRUE))</f>
        <v>0.5</v>
      </c>
      <c r="Q267" s="174">
        <v>270597.37</v>
      </c>
      <c r="R267" s="174">
        <f t="shared" si="87"/>
        <v>116356.47000000003</v>
      </c>
      <c r="S267" s="174">
        <v>-29682</v>
      </c>
      <c r="T267" s="174">
        <f t="shared" si="88"/>
        <v>16635.840000000026</v>
      </c>
      <c r="U267" s="186">
        <f>STDEV(D$2:D267)*SQRT(252)</f>
        <v>0.16642379270655777</v>
      </c>
      <c r="V267" s="186">
        <f>STDEV(L$2:L267)*SQRT(252)</f>
        <v>0.3610748681776339</v>
      </c>
      <c r="W267" s="184">
        <f t="shared" si="97"/>
        <v>-9.0328635068432694E-2</v>
      </c>
    </row>
    <row r="268" spans="2:23" ht="20.100000000000001" customHeight="1" x14ac:dyDescent="0.25">
      <c r="B268" s="173">
        <v>42621</v>
      </c>
      <c r="C268" s="217">
        <v>2181.3000000000002</v>
      </c>
      <c r="D268" s="172">
        <f t="shared" si="100"/>
        <v>-2.2230760786034294E-3</v>
      </c>
      <c r="E268" s="211">
        <f t="shared" si="91"/>
        <v>3.7508799299861173E-2</v>
      </c>
      <c r="F268" s="221">
        <v>5259.48</v>
      </c>
      <c r="G268" s="172">
        <f t="shared" si="99"/>
        <v>-4.6253539039199133E-3</v>
      </c>
      <c r="H268" s="205">
        <f t="shared" si="93"/>
        <v>3.2951666437535547E-2</v>
      </c>
      <c r="I268" s="223">
        <v>397118.13</v>
      </c>
      <c r="J268" s="174">
        <v>400000</v>
      </c>
      <c r="K268" s="174">
        <f t="shared" si="94"/>
        <v>10164.289999999979</v>
      </c>
      <c r="L268" s="172">
        <f t="shared" si="101"/>
        <v>2.6267448334405929E-2</v>
      </c>
      <c r="M268" s="184">
        <f t="shared" si="98"/>
        <v>-2881.8699999999953</v>
      </c>
      <c r="N268" s="186">
        <f t="shared" si="90"/>
        <v>-7.2046749999999885E-3</v>
      </c>
      <c r="O268" s="184" t="b">
        <f t="shared" si="95"/>
        <v>1</v>
      </c>
      <c r="P268" s="186">
        <f>COUNTIF(O$2:O268, TRUE)/(COUNTIF(O$2:O268,FALSE) + COUNTIF(O$2:O268, TRUE))</f>
        <v>0.50187265917602997</v>
      </c>
      <c r="Q268" s="174">
        <v>251179.7</v>
      </c>
      <c r="R268" s="174">
        <f t="shared" si="87"/>
        <v>145938.43</v>
      </c>
      <c r="S268" s="174">
        <v>-22549</v>
      </c>
      <c r="T268" s="174">
        <f t="shared" si="88"/>
        <v>19667.130000000005</v>
      </c>
      <c r="U268" s="186">
        <f>STDEV(D$2:D268)*SQRT(252)</f>
        <v>0.16612626124990684</v>
      </c>
      <c r="V268" s="186">
        <f>STDEV(L$2:L268)*SQRT(252)</f>
        <v>0.36126574974857484</v>
      </c>
      <c r="W268" s="184">
        <f t="shared" si="97"/>
        <v>-1.9942867556678505E-2</v>
      </c>
    </row>
    <row r="269" spans="2:23" ht="20.100000000000001" customHeight="1" x14ac:dyDescent="0.25">
      <c r="B269" s="173">
        <v>42622</v>
      </c>
      <c r="C269" s="217">
        <v>2127.81</v>
      </c>
      <c r="D269" s="172">
        <f t="shared" si="100"/>
        <v>-2.4522073992573341E-2</v>
      </c>
      <c r="E269" s="211">
        <f t="shared" si="91"/>
        <v>1.2066931755484052E-2</v>
      </c>
      <c r="F269" s="221">
        <v>5125.8999999999996</v>
      </c>
      <c r="G269" s="172">
        <f t="shared" si="99"/>
        <v>-2.5397948086122571E-2</v>
      </c>
      <c r="H269" s="205">
        <f t="shared" si="93"/>
        <v>6.7168136378812221E-3</v>
      </c>
      <c r="I269" s="223">
        <v>386211.32</v>
      </c>
      <c r="J269" s="174">
        <v>400000</v>
      </c>
      <c r="K269" s="174">
        <f t="shared" si="94"/>
        <v>-10906.809999999998</v>
      </c>
      <c r="L269" s="172">
        <f t="shared" si="101"/>
        <v>-2.746490068333067E-2</v>
      </c>
      <c r="M269" s="184">
        <f t="shared" si="98"/>
        <v>-13788.679999999993</v>
      </c>
      <c r="N269" s="186">
        <f t="shared" si="90"/>
        <v>-3.447169999999998E-2</v>
      </c>
      <c r="O269" s="184" t="b">
        <f t="shared" si="95"/>
        <v>0</v>
      </c>
      <c r="P269" s="186">
        <f>COUNTIF(O$2:O269, TRUE)/(COUNTIF(O$2:O269,FALSE) + COUNTIF(O$2:O269, TRUE))</f>
        <v>0.5</v>
      </c>
      <c r="Q269" s="174">
        <v>276342.96000000002</v>
      </c>
      <c r="R269" s="174">
        <f t="shared" si="87"/>
        <v>109868.35999999999</v>
      </c>
      <c r="S269" s="174">
        <v>-29111</v>
      </c>
      <c r="T269" s="174">
        <f t="shared" si="88"/>
        <v>15322.320000000007</v>
      </c>
      <c r="U269" s="186">
        <f>STDEV(D$2:D269)*SQRT(252)</f>
        <v>0.1675431453543596</v>
      </c>
      <c r="V269" s="186">
        <f>STDEV(L$2:L269)*SQRT(252)</f>
        <v>0.36161388324136196</v>
      </c>
      <c r="W269" s="184">
        <f t="shared" si="97"/>
        <v>-9.5327368769720547E-2</v>
      </c>
    </row>
    <row r="270" spans="2:23" ht="20.100000000000001" customHeight="1" x14ac:dyDescent="0.25">
      <c r="B270" s="246">
        <v>42625</v>
      </c>
      <c r="C270" s="247">
        <v>2159.04</v>
      </c>
      <c r="D270" s="172">
        <f t="shared" si="100"/>
        <v>1.4677062331693158E-2</v>
      </c>
      <c r="E270" s="248">
        <f t="shared" si="91"/>
        <v>2.6921101196704739E-2</v>
      </c>
      <c r="F270" s="249">
        <v>5211.88</v>
      </c>
      <c r="G270" s="172">
        <f t="shared" si="99"/>
        <v>1.6773639751068197E-2</v>
      </c>
      <c r="H270" s="250">
        <f t="shared" si="93"/>
        <v>2.3603118801186301E-2</v>
      </c>
      <c r="I270" s="251">
        <v>387052.15</v>
      </c>
      <c r="J270" s="252">
        <v>400000</v>
      </c>
      <c r="K270" s="252">
        <f t="shared" si="94"/>
        <v>840.8300000000163</v>
      </c>
      <c r="L270" s="172">
        <f t="shared" ref="L270:L285" si="102">K270/I269</f>
        <v>2.1771241712956945E-3</v>
      </c>
      <c r="M270" s="253">
        <f t="shared" si="98"/>
        <v>-12947.849999999977</v>
      </c>
      <c r="N270" s="254">
        <f t="shared" si="90"/>
        <v>-3.2369624999999944E-2</v>
      </c>
      <c r="O270" s="253" t="b">
        <f t="shared" si="95"/>
        <v>0</v>
      </c>
      <c r="P270" s="254">
        <f>COUNTIF(O$2:O270, TRUE)/(COUNTIF(O$2:O270,FALSE) + COUNTIF(O$2:O270, TRUE))</f>
        <v>0.49814126394052044</v>
      </c>
      <c r="Q270" s="252">
        <v>279690.06</v>
      </c>
      <c r="R270" s="252">
        <f t="shared" si="87"/>
        <v>107362.09000000003</v>
      </c>
      <c r="S270" s="252">
        <v>-29688</v>
      </c>
      <c r="T270" s="252">
        <f t="shared" si="88"/>
        <v>16740.150000000023</v>
      </c>
      <c r="U270" s="254">
        <f>STDEV(D$2:D270)*SQRT(252)</f>
        <v>0.16782539199806834</v>
      </c>
      <c r="V270" s="254">
        <f>STDEV(L$2:L270)*SQRT(252)</f>
        <v>0.36093984423813291</v>
      </c>
      <c r="W270" s="253">
        <f t="shared" si="97"/>
        <v>-8.9681495453419177E-2</v>
      </c>
    </row>
    <row r="271" spans="2:23" ht="20.100000000000001" customHeight="1" x14ac:dyDescent="0.25">
      <c r="B271" s="246">
        <v>42626</v>
      </c>
      <c r="C271" s="247">
        <v>2127.02</v>
      </c>
      <c r="D271" s="172">
        <f t="shared" ref="D271:D285" si="103">(C271-C270)/C270</f>
        <v>-1.483066548095449E-2</v>
      </c>
      <c r="E271" s="248">
        <f t="shared" si="91"/>
        <v>1.1691177869522996E-2</v>
      </c>
      <c r="F271" s="249">
        <v>5155.25</v>
      </c>
      <c r="G271" s="172">
        <f t="shared" ref="G271:G285" si="104">(F271-F270)/F270</f>
        <v>-1.0865560987589911E-2</v>
      </c>
      <c r="H271" s="250">
        <f t="shared" si="93"/>
        <v>1.2481096686764771E-2</v>
      </c>
      <c r="I271" s="251">
        <v>374259.41</v>
      </c>
      <c r="J271" s="252">
        <v>400000</v>
      </c>
      <c r="K271" s="252">
        <f t="shared" si="94"/>
        <v>-12792.740000000049</v>
      </c>
      <c r="L271" s="172">
        <f t="shared" si="102"/>
        <v>-3.3051721841617594E-2</v>
      </c>
      <c r="M271" s="253">
        <f t="shared" si="98"/>
        <v>-25740.590000000026</v>
      </c>
      <c r="N271" s="254">
        <f t="shared" si="90"/>
        <v>-6.4351475000000061E-2</v>
      </c>
      <c r="O271" s="253" t="b">
        <f t="shared" si="95"/>
        <v>0</v>
      </c>
      <c r="P271" s="254">
        <f>COUNTIF(O$2:O271, TRUE)/(COUNTIF(O$2:O271,FALSE) + COUNTIF(O$2:O271, TRUE))</f>
        <v>0.49629629629629629</v>
      </c>
      <c r="Q271" s="252">
        <v>294807.52</v>
      </c>
      <c r="R271" s="252">
        <f t="shared" si="87"/>
        <v>79451.889999999956</v>
      </c>
      <c r="S271" s="252">
        <v>-40449</v>
      </c>
      <c r="T271" s="252">
        <f t="shared" si="88"/>
        <v>14708.409999999974</v>
      </c>
      <c r="U271" s="254">
        <f>STDEV(D$2:D271)*SQRT(252)</f>
        <v>0.16813876158922561</v>
      </c>
      <c r="V271" s="254">
        <f>STDEV(L$2:L271)*SQRT(252)</f>
        <v>0.36172480886226521</v>
      </c>
      <c r="W271" s="253">
        <f t="shared" si="97"/>
        <v>-0.17790174581169885</v>
      </c>
    </row>
    <row r="272" spans="2:23" ht="20.100000000000001" customHeight="1" x14ac:dyDescent="0.25">
      <c r="B272" s="246">
        <v>42627</v>
      </c>
      <c r="C272" s="247">
        <v>2125.77</v>
      </c>
      <c r="D272" s="172">
        <f t="shared" si="103"/>
        <v>-5.8767665560267412E-4</v>
      </c>
      <c r="E272" s="248">
        <f t="shared" si="91"/>
        <v>1.1096630581609904E-2</v>
      </c>
      <c r="F272" s="249">
        <v>5173.7700000000004</v>
      </c>
      <c r="G272" s="172">
        <f t="shared" si="104"/>
        <v>3.5924542941662258E-3</v>
      </c>
      <c r="H272" s="250">
        <f t="shared" si="93"/>
        <v>1.6118388750319269E-2</v>
      </c>
      <c r="I272" s="251">
        <v>370693.02</v>
      </c>
      <c r="J272" s="252">
        <v>400000</v>
      </c>
      <c r="K272" s="252">
        <f t="shared" si="94"/>
        <v>-3566.3899999999558</v>
      </c>
      <c r="L272" s="172">
        <f t="shared" si="102"/>
        <v>-9.5291925993255741E-3</v>
      </c>
      <c r="M272" s="253">
        <f t="shared" si="98"/>
        <v>-29306.979999999981</v>
      </c>
      <c r="N272" s="254">
        <f t="shared" si="90"/>
        <v>-7.3267449999999956E-2</v>
      </c>
      <c r="O272" s="253" t="b">
        <f t="shared" si="95"/>
        <v>0</v>
      </c>
      <c r="P272" s="254">
        <f>COUNTIF(O$2:O272, TRUE)/(COUNTIF(O$2:O272,FALSE) + COUNTIF(O$2:O272, TRUE))</f>
        <v>0.49446494464944651</v>
      </c>
      <c r="Q272" s="252">
        <v>304166.43</v>
      </c>
      <c r="R272" s="252">
        <f t="shared" si="87"/>
        <v>66526.590000000026</v>
      </c>
      <c r="S272" s="252">
        <v>-43966</v>
      </c>
      <c r="T272" s="252">
        <f t="shared" si="88"/>
        <v>14659.020000000019</v>
      </c>
      <c r="U272" s="254">
        <f>STDEV(D$2:D272)*SQRT(252)</f>
        <v>0.16782725694658282</v>
      </c>
      <c r="V272" s="254">
        <f>STDEV(L$2:L272)*SQRT(252)</f>
        <v>0.36117811757925894</v>
      </c>
      <c r="W272" s="253">
        <f t="shared" si="97"/>
        <v>-0.20285683554436748</v>
      </c>
    </row>
    <row r="273" spans="2:23" ht="20.100000000000001" customHeight="1" x14ac:dyDescent="0.25">
      <c r="B273" s="246">
        <v>42628</v>
      </c>
      <c r="C273" s="247">
        <v>2147.2600000000002</v>
      </c>
      <c r="D273" s="172">
        <f t="shared" si="103"/>
        <v>1.0109278049836171E-2</v>
      </c>
      <c r="E273" s="248">
        <f t="shared" si="91"/>
        <v>2.1318087555411886E-2</v>
      </c>
      <c r="F273" s="249">
        <v>5249.68</v>
      </c>
      <c r="G273" s="172">
        <f t="shared" si="104"/>
        <v>1.4672086312302218E-2</v>
      </c>
      <c r="H273" s="250">
        <f t="shared" si="93"/>
        <v>3.1026965453581412E-2</v>
      </c>
      <c r="I273" s="251">
        <v>375852.08</v>
      </c>
      <c r="J273" s="252">
        <v>400000</v>
      </c>
      <c r="K273" s="252">
        <f t="shared" si="94"/>
        <v>5159.0599999999977</v>
      </c>
      <c r="L273" s="172">
        <f t="shared" si="102"/>
        <v>1.3917337855457859E-2</v>
      </c>
      <c r="M273" s="253">
        <f t="shared" si="98"/>
        <v>-24147.919999999984</v>
      </c>
      <c r="N273" s="254">
        <f t="shared" si="90"/>
        <v>-6.036979999999996E-2</v>
      </c>
      <c r="O273" s="253" t="b">
        <f t="shared" si="95"/>
        <v>1</v>
      </c>
      <c r="P273" s="254">
        <f>COUNTIF(O$2:O273, TRUE)/(COUNTIF(O$2:O273,FALSE) + COUNTIF(O$2:O273, TRUE))</f>
        <v>0.49632352941176472</v>
      </c>
      <c r="Q273" s="252">
        <v>309277.58</v>
      </c>
      <c r="R273" s="252">
        <f t="shared" si="87"/>
        <v>66574.5</v>
      </c>
      <c r="S273" s="252">
        <v>-40569</v>
      </c>
      <c r="T273" s="252">
        <f t="shared" si="88"/>
        <v>16421.080000000016</v>
      </c>
      <c r="U273" s="254">
        <f>STDEV(D$2:D273)*SQRT(252)</f>
        <v>0.16779419960031708</v>
      </c>
      <c r="V273" s="254">
        <f>STDEV(L$2:L273)*SQRT(252)</f>
        <v>0.36074703023734866</v>
      </c>
      <c r="W273" s="253">
        <f t="shared" si="97"/>
        <v>-0.16734663057456206</v>
      </c>
    </row>
    <row r="274" spans="2:23" ht="20.100000000000001" customHeight="1" x14ac:dyDescent="0.25">
      <c r="B274" s="246">
        <v>42629</v>
      </c>
      <c r="C274" s="247">
        <v>2139.16</v>
      </c>
      <c r="D274" s="172">
        <f t="shared" si="103"/>
        <v>-3.7722492851356439E-3</v>
      </c>
      <c r="E274" s="248">
        <f t="shared" si="91"/>
        <v>1.7465421129734877E-2</v>
      </c>
      <c r="F274" s="249">
        <v>5244.56</v>
      </c>
      <c r="G274" s="172">
        <f t="shared" si="104"/>
        <v>-9.7529754194539294E-4</v>
      </c>
      <c r="H274" s="250">
        <f t="shared" si="93"/>
        <v>3.0021407388495118E-2</v>
      </c>
      <c r="I274" s="251">
        <v>375872.83</v>
      </c>
      <c r="J274" s="252">
        <v>400000</v>
      </c>
      <c r="K274" s="252">
        <f t="shared" si="94"/>
        <v>20.75</v>
      </c>
      <c r="L274" s="172">
        <f t="shared" si="102"/>
        <v>5.5207889231316743E-5</v>
      </c>
      <c r="M274" s="253">
        <f t="shared" ref="M274:M279" si="105">I274-J274</f>
        <v>-24127.169999999984</v>
      </c>
      <c r="N274" s="254">
        <f t="shared" si="90"/>
        <v>-6.031792499999996E-2</v>
      </c>
      <c r="O274" s="253" t="b">
        <f t="shared" si="95"/>
        <v>1</v>
      </c>
      <c r="P274" s="254">
        <f>COUNTIF(O$2:O274, TRUE)/(COUNTIF(O$2:O274,FALSE) + COUNTIF(O$2:O274, TRUE))</f>
        <v>0.49816849816849818</v>
      </c>
      <c r="Q274" s="252">
        <v>307021.42</v>
      </c>
      <c r="R274" s="252">
        <f t="shared" si="87"/>
        <v>68851.410000000033</v>
      </c>
      <c r="S274" s="252">
        <v>-40175</v>
      </c>
      <c r="T274" s="252">
        <f t="shared" si="88"/>
        <v>16047.830000000016</v>
      </c>
      <c r="U274" s="254">
        <f>STDEV(D$2:D274)*SQRT(252)</f>
        <v>0.16752651970065091</v>
      </c>
      <c r="V274" s="254">
        <f>STDEV(L$2:L274)*SQRT(252)</f>
        <v>0.36008095750354496</v>
      </c>
      <c r="W274" s="253">
        <f t="shared" si="97"/>
        <v>-0.16751212121348055</v>
      </c>
    </row>
    <row r="275" spans="2:23" ht="20.100000000000001" customHeight="1" x14ac:dyDescent="0.25">
      <c r="B275" s="173">
        <v>42632</v>
      </c>
      <c r="C275" s="217">
        <v>2139.12</v>
      </c>
      <c r="D275" s="172">
        <f t="shared" si="103"/>
        <v>-1.8698928551377E-5</v>
      </c>
      <c r="E275" s="211">
        <f t="shared" si="91"/>
        <v>1.7446395616521677E-2</v>
      </c>
      <c r="F275" s="221">
        <v>5235.0200000000004</v>
      </c>
      <c r="G275" s="172">
        <f t="shared" si="104"/>
        <v>-1.8190277163384464E-3</v>
      </c>
      <c r="H275" s="205">
        <f t="shared" si="93"/>
        <v>2.8147769900033509E-2</v>
      </c>
      <c r="I275" s="223">
        <v>373123.48</v>
      </c>
      <c r="J275" s="174">
        <v>400000</v>
      </c>
      <c r="K275" s="174">
        <f t="shared" si="94"/>
        <v>-2749.3500000000349</v>
      </c>
      <c r="L275" s="172">
        <f t="shared" si="102"/>
        <v>-7.3145749853747999E-3</v>
      </c>
      <c r="M275" s="184">
        <f t="shared" si="105"/>
        <v>-26876.520000000019</v>
      </c>
      <c r="N275" s="186">
        <f t="shared" si="90"/>
        <v>-6.7191300000000051E-2</v>
      </c>
      <c r="O275" s="184" t="b">
        <f t="shared" si="95"/>
        <v>0</v>
      </c>
      <c r="P275" s="186">
        <f>COUNTIF(O$2:O275, TRUE)/(COUNTIF(O$2:O275,FALSE) + COUNTIF(O$2:O275, TRUE))</f>
        <v>0.49635036496350365</v>
      </c>
      <c r="Q275" s="174">
        <v>307089.07</v>
      </c>
      <c r="R275" s="174">
        <f t="shared" si="87"/>
        <v>66034.409999999974</v>
      </c>
      <c r="S275" s="174">
        <v>-41834</v>
      </c>
      <c r="T275" s="174">
        <f t="shared" si="88"/>
        <v>14957.479999999981</v>
      </c>
      <c r="U275" s="186">
        <f>STDEV(D$2:D275)*SQRT(252)</f>
        <v>0.16721833549598966</v>
      </c>
      <c r="V275" s="186">
        <f>STDEV(L$2:L275)*SQRT(252)</f>
        <v>0.35949423119806312</v>
      </c>
      <c r="W275" s="184">
        <f t="shared" si="97"/>
        <v>-0.18690508544761888</v>
      </c>
    </row>
    <row r="276" spans="2:23" ht="20.100000000000001" customHeight="1" x14ac:dyDescent="0.25">
      <c r="B276" s="173">
        <v>42633</v>
      </c>
      <c r="C276" s="217">
        <v>2139.7600000000002</v>
      </c>
      <c r="D276" s="172">
        <f t="shared" si="103"/>
        <v>2.991884513259319E-4</v>
      </c>
      <c r="E276" s="211">
        <f t="shared" si="91"/>
        <v>1.7750803827933335E-2</v>
      </c>
      <c r="F276" s="221">
        <v>5241.3500000000004</v>
      </c>
      <c r="G276" s="172">
        <f t="shared" si="104"/>
        <v>1.2091644349018584E-3</v>
      </c>
      <c r="H276" s="205">
        <f t="shared" si="93"/>
        <v>2.9390969617220292E-2</v>
      </c>
      <c r="I276" s="223">
        <v>372718.71</v>
      </c>
      <c r="J276" s="174">
        <v>400000</v>
      </c>
      <c r="K276" s="174">
        <f t="shared" si="94"/>
        <v>-404.76999999996042</v>
      </c>
      <c r="L276" s="172">
        <f t="shared" si="102"/>
        <v>-1.0848151394813332E-3</v>
      </c>
      <c r="M276" s="184">
        <f t="shared" si="105"/>
        <v>-27281.289999999979</v>
      </c>
      <c r="N276" s="186">
        <f t="shared" si="90"/>
        <v>-6.8203224999999951E-2</v>
      </c>
      <c r="O276" s="184" t="b">
        <f t="shared" si="95"/>
        <v>0</v>
      </c>
      <c r="P276" s="186">
        <f>COUNTIF(O$2:O276, TRUE)/(COUNTIF(O$2:O276,FALSE) + COUNTIF(O$2:O276, TRUE))</f>
        <v>0.49454545454545457</v>
      </c>
      <c r="Q276" s="174">
        <v>311226.5</v>
      </c>
      <c r="R276" s="174">
        <f t="shared" si="87"/>
        <v>61492.210000000021</v>
      </c>
      <c r="S276" s="174">
        <v>-42647</v>
      </c>
      <c r="T276" s="174">
        <f t="shared" si="88"/>
        <v>15365.710000000021</v>
      </c>
      <c r="U276" s="186">
        <f>STDEV(D$2:D276)*SQRT(252)</f>
        <v>0.16691188354135808</v>
      </c>
      <c r="V276" s="186">
        <f>STDEV(L$2:L276)*SQRT(252)</f>
        <v>0.35883781630276246</v>
      </c>
      <c r="W276" s="184">
        <f t="shared" si="97"/>
        <v>-0.19006699378210126</v>
      </c>
    </row>
    <row r="277" spans="2:23" ht="20.100000000000001" customHeight="1" x14ac:dyDescent="0.25">
      <c r="B277" s="173">
        <v>42634</v>
      </c>
      <c r="C277" s="217">
        <v>2163.12</v>
      </c>
      <c r="D277" s="172">
        <f t="shared" si="103"/>
        <v>1.0917112199498855E-2</v>
      </c>
      <c r="E277" s="211">
        <f t="shared" si="91"/>
        <v>2.8861703544453034E-2</v>
      </c>
      <c r="F277" s="221">
        <v>5295.18</v>
      </c>
      <c r="G277" s="172">
        <f t="shared" si="104"/>
        <v>1.0270254800766963E-2</v>
      </c>
      <c r="H277" s="205">
        <f t="shared" si="93"/>
        <v>3.9963077164797703E-2</v>
      </c>
      <c r="I277" s="223">
        <v>382463.62</v>
      </c>
      <c r="J277" s="174">
        <v>400000</v>
      </c>
      <c r="K277" s="174">
        <f t="shared" si="94"/>
        <v>9744.9099999999744</v>
      </c>
      <c r="L277" s="172">
        <f t="shared" si="102"/>
        <v>2.6145481132406726E-2</v>
      </c>
      <c r="M277" s="184">
        <f t="shared" si="105"/>
        <v>-17536.380000000005</v>
      </c>
      <c r="N277" s="186">
        <f t="shared" si="90"/>
        <v>-4.384095000000001E-2</v>
      </c>
      <c r="O277" s="184" t="b">
        <f t="shared" si="95"/>
        <v>1</v>
      </c>
      <c r="P277" s="186">
        <f>COUNTIF(O$2:O277, TRUE)/(COUNTIF(O$2:O277,FALSE) + COUNTIF(O$2:O277, TRUE))</f>
        <v>0.49637681159420288</v>
      </c>
      <c r="Q277" s="174">
        <v>306380.55</v>
      </c>
      <c r="R277" s="174">
        <f t="shared" si="87"/>
        <v>76083.070000000007</v>
      </c>
      <c r="S277" s="174">
        <v>-34503</v>
      </c>
      <c r="T277" s="174">
        <f t="shared" si="88"/>
        <v>16966.619999999995</v>
      </c>
      <c r="U277" s="186">
        <f>STDEV(D$2:D277)*SQRT(252)</f>
        <v>0.16692734623146724</v>
      </c>
      <c r="V277" s="186">
        <f>STDEV(L$2:L277)*SQRT(252)</f>
        <v>0.35903354110809649</v>
      </c>
      <c r="W277" s="184">
        <f t="shared" si="97"/>
        <v>-0.1221082294002179</v>
      </c>
    </row>
    <row r="278" spans="2:23" ht="20.100000000000001" customHeight="1" x14ac:dyDescent="0.25">
      <c r="B278" s="173">
        <v>42635</v>
      </c>
      <c r="C278" s="217">
        <v>2177.1799999999998</v>
      </c>
      <c r="D278" s="172">
        <f t="shared" si="103"/>
        <v>6.4998705573430723E-3</v>
      </c>
      <c r="E278" s="211">
        <f t="shared" si="91"/>
        <v>3.5549171438899463E-2</v>
      </c>
      <c r="F278" s="221">
        <v>5339.52</v>
      </c>
      <c r="G278" s="172">
        <f t="shared" si="104"/>
        <v>8.373653020293954E-3</v>
      </c>
      <c r="H278" s="205">
        <f t="shared" si="93"/>
        <v>4.8671367126892913E-2</v>
      </c>
      <c r="I278" s="223">
        <v>385198.84</v>
      </c>
      <c r="J278" s="174">
        <v>400000</v>
      </c>
      <c r="K278" s="174">
        <f t="shared" si="94"/>
        <v>2735.2200000000303</v>
      </c>
      <c r="L278" s="172">
        <f t="shared" si="102"/>
        <v>7.1515821557094246E-3</v>
      </c>
      <c r="M278" s="184">
        <f t="shared" si="105"/>
        <v>-14801.159999999974</v>
      </c>
      <c r="N278" s="186">
        <f t="shared" si="90"/>
        <v>-3.7002899999999936E-2</v>
      </c>
      <c r="O278" s="184" t="b">
        <f t="shared" si="95"/>
        <v>1</v>
      </c>
      <c r="P278" s="186">
        <f>COUNTIF(O$2:O278, TRUE)/(COUNTIF(O$2:O278,FALSE) + COUNTIF(O$2:O278, TRUE))</f>
        <v>0.49819494584837543</v>
      </c>
      <c r="Q278" s="174">
        <v>301575.81</v>
      </c>
      <c r="R278" s="174">
        <f t="shared" si="87"/>
        <v>83623.030000000028</v>
      </c>
      <c r="S278" s="174">
        <v>-32239</v>
      </c>
      <c r="T278" s="174">
        <f t="shared" si="88"/>
        <v>17437.840000000026</v>
      </c>
      <c r="U278" s="186">
        <f>STDEV(D$2:D278)*SQRT(252)</f>
        <v>0.16673370046778063</v>
      </c>
      <c r="V278" s="186">
        <f>STDEV(L$2:L278)*SQRT(252)</f>
        <v>0.35843771988043882</v>
      </c>
      <c r="W278" s="184">
        <f t="shared" si="97"/>
        <v>-0.10323383379501101</v>
      </c>
    </row>
    <row r="279" spans="2:23" ht="20.100000000000001" customHeight="1" x14ac:dyDescent="0.25">
      <c r="B279" s="173">
        <v>42636</v>
      </c>
      <c r="C279" s="217">
        <v>2164.69</v>
      </c>
      <c r="D279" s="172">
        <f t="shared" si="103"/>
        <v>-5.7367787688660478E-3</v>
      </c>
      <c r="E279" s="211">
        <f t="shared" si="91"/>
        <v>2.9608454938071953E-2</v>
      </c>
      <c r="F279" s="221">
        <v>5305.74</v>
      </c>
      <c r="G279" s="172">
        <f t="shared" si="104"/>
        <v>-6.3264113628192517E-3</v>
      </c>
      <c r="H279" s="205">
        <f t="shared" si="93"/>
        <v>4.2037040674038136E-2</v>
      </c>
      <c r="I279" s="223">
        <v>381118.05</v>
      </c>
      <c r="J279" s="174">
        <v>400000</v>
      </c>
      <c r="K279" s="174">
        <f t="shared" si="94"/>
        <v>-4080.7900000000373</v>
      </c>
      <c r="L279" s="172">
        <f t="shared" si="102"/>
        <v>-1.0593983097145456E-2</v>
      </c>
      <c r="M279" s="184">
        <f t="shared" si="105"/>
        <v>-18881.950000000012</v>
      </c>
      <c r="N279" s="186">
        <f t="shared" si="90"/>
        <v>-4.7204875000000028E-2</v>
      </c>
      <c r="O279" s="184" t="b">
        <f t="shared" si="95"/>
        <v>0</v>
      </c>
      <c r="P279" s="186">
        <f>COUNTIF(O$2:O279, TRUE)/(COUNTIF(O$2:O279,FALSE) + COUNTIF(O$2:O279, TRUE))</f>
        <v>0.49640287769784175</v>
      </c>
      <c r="Q279" s="174">
        <v>300371.02</v>
      </c>
      <c r="R279" s="174">
        <f t="shared" si="87"/>
        <v>80747.02999999997</v>
      </c>
      <c r="S279" s="174">
        <v>-36012</v>
      </c>
      <c r="T279" s="174">
        <f t="shared" si="88"/>
        <v>17130.049999999988</v>
      </c>
      <c r="U279" s="186">
        <f>STDEV(D$2:D279)*SQRT(252)</f>
        <v>0.16652707926624533</v>
      </c>
      <c r="V279" s="186">
        <f>STDEV(L$2:L279)*SQRT(252)</f>
        <v>0.35794291849606197</v>
      </c>
      <c r="W279" s="184">
        <f t="shared" si="97"/>
        <v>-0.13187822013168105</v>
      </c>
    </row>
    <row r="280" spans="2:23" ht="20.100000000000001" customHeight="1" x14ac:dyDescent="0.25">
      <c r="B280" s="246">
        <v>42639</v>
      </c>
      <c r="C280" s="336">
        <v>2146.1</v>
      </c>
      <c r="D280" s="172">
        <f t="shared" si="103"/>
        <v>-8.5878347477006609E-3</v>
      </c>
      <c r="E280" s="248">
        <f t="shared" si="91"/>
        <v>2.0766347672228389E-2</v>
      </c>
      <c r="F280" s="249">
        <v>5257.49</v>
      </c>
      <c r="G280" s="172">
        <f t="shared" si="104"/>
        <v>-9.093924692879788E-3</v>
      </c>
      <c r="H280" s="250">
        <f t="shared" si="93"/>
        <v>3.256083429895712E-2</v>
      </c>
      <c r="I280" s="251">
        <v>378419.42</v>
      </c>
      <c r="J280" s="252">
        <v>400000</v>
      </c>
      <c r="K280" s="252">
        <f t="shared" si="94"/>
        <v>-2698.6300000000047</v>
      </c>
      <c r="L280" s="172">
        <f t="shared" si="102"/>
        <v>-7.0808244322198982E-3</v>
      </c>
      <c r="M280" s="253">
        <f t="shared" ref="M280:M311" si="106">I280-J280</f>
        <v>-21580.580000000016</v>
      </c>
      <c r="N280" s="254">
        <f t="shared" si="90"/>
        <v>-5.395145000000004E-2</v>
      </c>
      <c r="O280" s="253" t="b">
        <f t="shared" si="95"/>
        <v>1</v>
      </c>
      <c r="P280" s="254">
        <f>COUNTIF(O$2:O280, TRUE)/(COUNTIF(O$2:O280,FALSE) + COUNTIF(O$2:O280, TRUE))</f>
        <v>0.49820788530465948</v>
      </c>
      <c r="Q280" s="252">
        <v>310812.53000000003</v>
      </c>
      <c r="R280" s="252">
        <f t="shared" si="87"/>
        <v>67606.889999999956</v>
      </c>
      <c r="S280" s="252">
        <v>-37706</v>
      </c>
      <c r="T280" s="252">
        <f t="shared" si="88"/>
        <v>16125.419999999984</v>
      </c>
      <c r="U280" s="254">
        <f>STDEV(D$2:D280)*SQRT(252)</f>
        <v>0.1664347537339865</v>
      </c>
      <c r="V280" s="254">
        <f>STDEV(L$2:L280)*SQRT(252)</f>
        <v>0.35736746994840918</v>
      </c>
      <c r="W280" s="253">
        <f t="shared" ref="W280:W305" si="107">N280/V280</f>
        <v>-0.15096911313105432</v>
      </c>
    </row>
    <row r="281" spans="2:23" ht="20.100000000000001" customHeight="1" x14ac:dyDescent="0.25">
      <c r="B281" s="246">
        <v>42640</v>
      </c>
      <c r="C281" s="336">
        <v>2159.9299999999998</v>
      </c>
      <c r="D281" s="172">
        <f t="shared" si="103"/>
        <v>6.4442477051395216E-3</v>
      </c>
      <c r="E281" s="248">
        <f t="shared" si="91"/>
        <v>2.7344418865698796E-2</v>
      </c>
      <c r="F281" s="249">
        <v>5305.71</v>
      </c>
      <c r="G281" s="172">
        <f t="shared" si="104"/>
        <v>9.1716769789386681E-3</v>
      </c>
      <c r="H281" s="250">
        <f t="shared" si="93"/>
        <v>4.203114873225057E-2</v>
      </c>
      <c r="I281" s="251">
        <v>375834.82</v>
      </c>
      <c r="J281" s="252">
        <v>400000</v>
      </c>
      <c r="K281" s="252">
        <f t="shared" si="94"/>
        <v>-2584.5999999999767</v>
      </c>
      <c r="L281" s="172">
        <f t="shared" si="102"/>
        <v>-6.8299877421723679E-3</v>
      </c>
      <c r="M281" s="253">
        <f t="shared" si="106"/>
        <v>-24165.179999999993</v>
      </c>
      <c r="N281" s="254">
        <f t="shared" si="90"/>
        <v>-6.0412949999999979E-2</v>
      </c>
      <c r="O281" s="253" t="b">
        <f t="shared" si="95"/>
        <v>0</v>
      </c>
      <c r="P281" s="254">
        <f>COUNTIF(O$2:O281, TRUE)/(COUNTIF(O$2:O281,FALSE) + COUNTIF(O$2:O281, TRUE))</f>
        <v>0.49642857142857144</v>
      </c>
      <c r="Q281" s="252">
        <v>313206.95</v>
      </c>
      <c r="R281" s="252">
        <f t="shared" si="87"/>
        <v>62627.869999999995</v>
      </c>
      <c r="S281" s="252">
        <v>-41827</v>
      </c>
      <c r="T281" s="252">
        <f t="shared" si="88"/>
        <v>17661.820000000007</v>
      </c>
      <c r="U281" s="254">
        <f>STDEV(D$2:D281)*SQRT(252)</f>
        <v>0.16624352629269787</v>
      </c>
      <c r="V281" s="254">
        <f>STDEV(L$2:L281)*SQRT(252)</f>
        <v>0.35679007137958157</v>
      </c>
      <c r="W281" s="253">
        <f t="shared" si="107"/>
        <v>-0.16932351779410335</v>
      </c>
    </row>
    <row r="282" spans="2:23" ht="20.100000000000001" customHeight="1" x14ac:dyDescent="0.25">
      <c r="B282" s="246">
        <v>42641</v>
      </c>
      <c r="C282" s="247">
        <v>2171.37</v>
      </c>
      <c r="D282" s="172">
        <f t="shared" si="103"/>
        <v>5.2964679410907088E-3</v>
      </c>
      <c r="E282" s="248">
        <f t="shared" si="91"/>
        <v>3.2785715644679435E-2</v>
      </c>
      <c r="F282" s="249">
        <v>5318.54</v>
      </c>
      <c r="G282" s="172">
        <f t="shared" si="104"/>
        <v>2.4181495030825145E-3</v>
      </c>
      <c r="H282" s="250">
        <f t="shared" si="93"/>
        <v>4.4550935836753965E-2</v>
      </c>
      <c r="I282" s="251">
        <v>385764.92</v>
      </c>
      <c r="J282" s="252">
        <v>400000</v>
      </c>
      <c r="K282" s="252">
        <f t="shared" si="94"/>
        <v>9930.0999999999767</v>
      </c>
      <c r="L282" s="172">
        <f t="shared" si="102"/>
        <v>2.6421447592322542E-2</v>
      </c>
      <c r="M282" s="253">
        <f t="shared" si="106"/>
        <v>-14235.080000000016</v>
      </c>
      <c r="N282" s="254">
        <f t="shared" si="90"/>
        <v>-3.5587700000000042E-2</v>
      </c>
      <c r="O282" s="253" t="b">
        <f t="shared" si="95"/>
        <v>1</v>
      </c>
      <c r="P282" s="254">
        <f>COUNTIF(O$2:O282, TRUE)/(COUNTIF(O$2:O282,FALSE) + COUNTIF(O$2:O282, TRUE))</f>
        <v>0.49822064056939502</v>
      </c>
      <c r="Q282" s="252">
        <v>304000.24</v>
      </c>
      <c r="R282" s="252">
        <f t="shared" si="87"/>
        <v>81764.679999999993</v>
      </c>
      <c r="S282" s="252">
        <v>-31374</v>
      </c>
      <c r="T282" s="252">
        <f t="shared" si="88"/>
        <v>17138.919999999984</v>
      </c>
      <c r="U282" s="254">
        <f>STDEV(D$2:D282)*SQRT(252)</f>
        <v>0.16601709899528619</v>
      </c>
      <c r="V282" s="254">
        <f>STDEV(L$2:L282)*SQRT(252)</f>
        <v>0.35700717953973932</v>
      </c>
      <c r="W282" s="253">
        <f t="shared" si="107"/>
        <v>-9.9683429464585013E-2</v>
      </c>
    </row>
    <row r="283" spans="2:23" ht="20.100000000000001" customHeight="1" x14ac:dyDescent="0.25">
      <c r="B283" s="246">
        <v>42642</v>
      </c>
      <c r="C283" s="247">
        <v>2151.13</v>
      </c>
      <c r="D283" s="172">
        <f t="shared" si="103"/>
        <v>-9.3213040614910318E-3</v>
      </c>
      <c r="E283" s="248">
        <f t="shared" si="91"/>
        <v>2.3158805958790763E-2</v>
      </c>
      <c r="F283" s="249">
        <v>5269.15</v>
      </c>
      <c r="G283" s="172">
        <f t="shared" si="104"/>
        <v>-9.286383105137937E-3</v>
      </c>
      <c r="H283" s="250">
        <f t="shared" si="93"/>
        <v>3.4850835673743509E-2</v>
      </c>
      <c r="I283" s="251">
        <v>389483.35</v>
      </c>
      <c r="J283" s="252">
        <v>400000</v>
      </c>
      <c r="K283" s="252">
        <f t="shared" si="94"/>
        <v>3718.429999999993</v>
      </c>
      <c r="L283" s="172">
        <f t="shared" si="102"/>
        <v>9.6391087090033824E-3</v>
      </c>
      <c r="M283" s="253">
        <f t="shared" si="106"/>
        <v>-10516.650000000023</v>
      </c>
      <c r="N283" s="254">
        <f t="shared" si="90"/>
        <v>-2.6291625000000058E-2</v>
      </c>
      <c r="O283" s="253" t="b">
        <f t="shared" si="95"/>
        <v>1</v>
      </c>
      <c r="P283" s="254">
        <f>COUNTIF(O$2:O283, TRUE)/(COUNTIF(O$2:O283,FALSE) + COUNTIF(O$2:O283, TRUE))</f>
        <v>0.5</v>
      </c>
      <c r="Q283" s="252">
        <v>298931.3</v>
      </c>
      <c r="R283" s="252">
        <f t="shared" si="87"/>
        <v>90552.049999999988</v>
      </c>
      <c r="S283" s="252">
        <v>-27372</v>
      </c>
      <c r="T283" s="252">
        <f t="shared" si="88"/>
        <v>16855.349999999977</v>
      </c>
      <c r="U283" s="254">
        <f>STDEV(D$2:D283)*SQRT(252)</f>
        <v>0.16596393387436578</v>
      </c>
      <c r="V283" s="254">
        <f>STDEV(L$2:L283)*SQRT(252)</f>
        <v>0.35647523622237404</v>
      </c>
      <c r="W283" s="253">
        <f t="shared" si="107"/>
        <v>-7.3754421986269442E-2</v>
      </c>
    </row>
    <row r="284" spans="2:23" ht="20.100000000000001" customHeight="1" x14ac:dyDescent="0.25">
      <c r="B284" s="246">
        <v>42643</v>
      </c>
      <c r="C284" s="247">
        <v>2168.27</v>
      </c>
      <c r="D284" s="172">
        <f t="shared" si="103"/>
        <v>7.9679052405014442E-3</v>
      </c>
      <c r="E284" s="248">
        <f t="shared" si="91"/>
        <v>3.1311238370655012E-2</v>
      </c>
      <c r="F284" s="249">
        <v>5312</v>
      </c>
      <c r="G284" s="172">
        <f t="shared" si="104"/>
        <v>8.1322414431170813E-3</v>
      </c>
      <c r="H284" s="250">
        <f t="shared" si="93"/>
        <v>4.3266492527053869E-2</v>
      </c>
      <c r="I284" s="482">
        <v>389657.79</v>
      </c>
      <c r="J284" s="252">
        <v>400000</v>
      </c>
      <c r="K284" s="252">
        <f t="shared" si="94"/>
        <v>174.44000000000233</v>
      </c>
      <c r="L284" s="172">
        <f t="shared" si="102"/>
        <v>4.478753713092032E-4</v>
      </c>
      <c r="M284" s="253">
        <f t="shared" si="106"/>
        <v>-10342.210000000021</v>
      </c>
      <c r="N284" s="254">
        <f t="shared" si="90"/>
        <v>-2.5855525000000053E-2</v>
      </c>
      <c r="O284" s="253" t="b">
        <f t="shared" si="95"/>
        <v>0</v>
      </c>
      <c r="P284" s="254">
        <f>COUNTIF(O$2:O284, TRUE)/(COUNTIF(O$2:O284,FALSE) + COUNTIF(O$2:O284, TRUE))</f>
        <v>0.49823321554770317</v>
      </c>
      <c r="Q284" s="252">
        <v>303944.73</v>
      </c>
      <c r="R284" s="252">
        <f t="shared" si="87"/>
        <v>85713.06</v>
      </c>
      <c r="S284" s="252">
        <v>-28150</v>
      </c>
      <c r="T284" s="252">
        <f t="shared" si="88"/>
        <v>17807.789999999979</v>
      </c>
      <c r="U284" s="254">
        <f>STDEV(D$2:D284)*SQRT(252)</f>
        <v>0.16583370781569123</v>
      </c>
      <c r="V284" s="254">
        <f>STDEV(L$2:L284)*SQRT(252)</f>
        <v>0.35584037520231043</v>
      </c>
      <c r="W284" s="253">
        <f t="shared" si="107"/>
        <v>-7.2660459019862719E-2</v>
      </c>
    </row>
    <row r="285" spans="2:23" ht="20.100000000000001" customHeight="1" x14ac:dyDescent="0.25">
      <c r="B285" s="173">
        <v>42646</v>
      </c>
      <c r="C285" s="217">
        <v>2161.1999999999998</v>
      </c>
      <c r="D285" s="172">
        <f t="shared" si="103"/>
        <v>-3.2606640316935453E-3</v>
      </c>
      <c r="E285" s="211">
        <f t="shared" si="91"/>
        <v>2.794847891021849E-2</v>
      </c>
      <c r="F285" s="221">
        <v>5300.87</v>
      </c>
      <c r="G285" s="172">
        <f t="shared" si="104"/>
        <v>-2.0952560240964061E-3</v>
      </c>
      <c r="H285" s="205">
        <f t="shared" si="93"/>
        <v>4.108058212384863E-2</v>
      </c>
      <c r="I285" s="223">
        <v>389787.58</v>
      </c>
      <c r="J285" s="174">
        <v>400000</v>
      </c>
      <c r="K285" s="174">
        <f t="shared" si="94"/>
        <v>129.79000000003725</v>
      </c>
      <c r="L285" s="172">
        <f t="shared" si="102"/>
        <v>3.3308714295186365E-4</v>
      </c>
      <c r="M285" s="184">
        <f t="shared" si="106"/>
        <v>-10212.419999999984</v>
      </c>
      <c r="N285" s="186">
        <f t="shared" si="90"/>
        <v>-2.5531049999999958E-2</v>
      </c>
      <c r="O285" s="184" t="b">
        <f t="shared" si="95"/>
        <v>1</v>
      </c>
      <c r="P285" s="186">
        <f>COUNTIF(O$2:O285, TRUE)/(COUNTIF(O$2:O285,FALSE) + COUNTIF(O$2:O285, TRUE))</f>
        <v>0.5</v>
      </c>
      <c r="Q285" s="174">
        <v>316431.14</v>
      </c>
      <c r="R285" s="174">
        <f t="shared" ref="R285:R316" si="108">I285-Q285</f>
        <v>73356.44</v>
      </c>
      <c r="S285" s="174">
        <v>-28447</v>
      </c>
      <c r="T285" s="174">
        <f t="shared" ref="T285:T316" si="109">M285-S285</f>
        <v>18234.580000000016</v>
      </c>
      <c r="U285" s="186">
        <f>STDEV(D$2:D285)*SQRT(252)</f>
        <v>0.16557095301003413</v>
      </c>
      <c r="V285" s="186">
        <f>STDEV(L$2:L285)*SQRT(252)</f>
        <v>0.35520892170812252</v>
      </c>
      <c r="W285" s="184">
        <f t="shared" si="107"/>
        <v>-7.1876150737505931E-2</v>
      </c>
    </row>
    <row r="286" spans="2:23" ht="20.100000000000001" customHeight="1" x14ac:dyDescent="0.25">
      <c r="B286" s="173">
        <v>42647</v>
      </c>
      <c r="C286" s="217">
        <v>2150.4899999999998</v>
      </c>
      <c r="D286" s="172">
        <f t="shared" ref="D286:D295" si="110">(C286-C285)/C285</f>
        <v>-4.9555802332037933E-3</v>
      </c>
      <c r="E286" s="211">
        <f t="shared" si="91"/>
        <v>2.2854397747379105E-2</v>
      </c>
      <c r="F286" s="221">
        <v>5289.65</v>
      </c>
      <c r="G286" s="172">
        <f t="shared" ref="G286:G292" si="111">(F286-F285)/F285</f>
        <v>-2.1166336846593589E-3</v>
      </c>
      <c r="H286" s="205">
        <f t="shared" si="93"/>
        <v>3.8876995895280521E-2</v>
      </c>
      <c r="I286" s="223">
        <v>385233.03</v>
      </c>
      <c r="J286" s="174">
        <v>400000</v>
      </c>
      <c r="K286" s="174">
        <f t="shared" si="94"/>
        <v>-4554.5499999999884</v>
      </c>
      <c r="L286" s="172">
        <f t="shared" ref="L286:L295" si="112">K286/I285</f>
        <v>-1.1684697598625355E-2</v>
      </c>
      <c r="M286" s="184">
        <f t="shared" si="106"/>
        <v>-14766.969999999972</v>
      </c>
      <c r="N286" s="186">
        <f t="shared" ref="N286:N317" si="113">M286/J286</f>
        <v>-3.6917424999999927E-2</v>
      </c>
      <c r="O286" s="184" t="b">
        <f t="shared" si="95"/>
        <v>0</v>
      </c>
      <c r="P286" s="186">
        <f>COUNTIF(O$2:O286, TRUE)/(COUNTIF(O$2:O286,FALSE) + COUNTIF(O$2:O286, TRUE))</f>
        <v>0.49824561403508771</v>
      </c>
      <c r="Q286" s="174">
        <v>337102.39</v>
      </c>
      <c r="R286" s="174">
        <f t="shared" si="108"/>
        <v>48130.640000000014</v>
      </c>
      <c r="S286" s="174">
        <v>-32163</v>
      </c>
      <c r="T286" s="174">
        <f t="shared" si="109"/>
        <v>17396.030000000028</v>
      </c>
      <c r="U286" s="186">
        <f>STDEV(D$2:D286)*SQRT(252)</f>
        <v>0.16534817054416481</v>
      </c>
      <c r="V286" s="186">
        <f>STDEV(L$2:L286)*SQRT(252)</f>
        <v>0.35476607688224249</v>
      </c>
      <c r="W286" s="184">
        <f t="shared" si="107"/>
        <v>-0.10406131647207613</v>
      </c>
    </row>
    <row r="287" spans="2:23" ht="20.100000000000001" customHeight="1" x14ac:dyDescent="0.25">
      <c r="B287" s="173">
        <v>42648</v>
      </c>
      <c r="C287" s="217">
        <v>2159.73</v>
      </c>
      <c r="D287" s="172">
        <f t="shared" si="110"/>
        <v>4.2966951717981657E-3</v>
      </c>
      <c r="E287" s="211">
        <f t="shared" si="91"/>
        <v>2.7249291299632789E-2</v>
      </c>
      <c r="F287" s="221">
        <v>5316.02</v>
      </c>
      <c r="G287" s="172">
        <f t="shared" si="111"/>
        <v>4.9852069607631512E-3</v>
      </c>
      <c r="H287" s="205">
        <f t="shared" si="93"/>
        <v>4.4056012726594387E-2</v>
      </c>
      <c r="I287" s="223">
        <v>390592.54</v>
      </c>
      <c r="J287" s="174">
        <v>400000</v>
      </c>
      <c r="K287" s="174">
        <f t="shared" si="94"/>
        <v>5359.5099999999511</v>
      </c>
      <c r="L287" s="172">
        <f t="shared" si="112"/>
        <v>1.3912384407951599E-2</v>
      </c>
      <c r="M287" s="184">
        <f t="shared" si="106"/>
        <v>-9407.460000000021</v>
      </c>
      <c r="N287" s="186">
        <f t="shared" si="113"/>
        <v>-2.3518650000000054E-2</v>
      </c>
      <c r="O287" s="184" t="b">
        <f t="shared" si="95"/>
        <v>1</v>
      </c>
      <c r="P287" s="186">
        <f>COUNTIF(O$2:O287, TRUE)/(COUNTIF(O$2:O287,FALSE) + COUNTIF(O$2:O287, TRUE))</f>
        <v>0.5</v>
      </c>
      <c r="Q287" s="174">
        <v>313332.61</v>
      </c>
      <c r="R287" s="174">
        <f t="shared" si="108"/>
        <v>77259.929999999993</v>
      </c>
      <c r="S287" s="174">
        <v>-29624</v>
      </c>
      <c r="T287" s="174">
        <f t="shared" si="109"/>
        <v>20216.539999999979</v>
      </c>
      <c r="U287" s="186">
        <f>STDEV(D$2:D287)*SQRT(252)</f>
        <v>0.16510322057626589</v>
      </c>
      <c r="V287" s="186">
        <f>STDEV(L$2:L287)*SQRT(252)</f>
        <v>0.35436735180004281</v>
      </c>
      <c r="W287" s="184">
        <f t="shared" si="107"/>
        <v>-6.6367993215331003E-2</v>
      </c>
    </row>
    <row r="288" spans="2:23" ht="20.100000000000001" customHeight="1" x14ac:dyDescent="0.25">
      <c r="B288" s="173">
        <v>42649</v>
      </c>
      <c r="C288" s="217">
        <v>2160.77</v>
      </c>
      <c r="D288" s="172">
        <f t="shared" si="110"/>
        <v>4.8154167419073849E-4</v>
      </c>
      <c r="E288" s="211">
        <f t="shared" ref="E288:E319" si="114">(C288-$C$2)/$C$2</f>
        <v>2.7743954643176465E-2</v>
      </c>
      <c r="F288" s="221">
        <v>5306.85</v>
      </c>
      <c r="G288" s="172">
        <f t="shared" si="111"/>
        <v>-1.7249746991170221E-3</v>
      </c>
      <c r="H288" s="205">
        <f t="shared" ref="H288:H319" si="115">(F288-F$2)/F$2</f>
        <v>4.225504252018001E-2</v>
      </c>
      <c r="I288" s="223">
        <v>390871.84</v>
      </c>
      <c r="J288" s="174">
        <v>400000</v>
      </c>
      <c r="K288" s="174">
        <f t="shared" ref="K288:K319" si="116">I288-I287-J288+J287</f>
        <v>279.30000000004657</v>
      </c>
      <c r="L288" s="172">
        <f t="shared" si="112"/>
        <v>7.1506742038659153E-4</v>
      </c>
      <c r="M288" s="184">
        <f t="shared" si="106"/>
        <v>-9128.1599999999744</v>
      </c>
      <c r="N288" s="186">
        <f t="shared" si="113"/>
        <v>-2.2820399999999935E-2</v>
      </c>
      <c r="O288" s="184" t="b">
        <f t="shared" ref="O288:O319" si="117">L288&gt;D288</f>
        <v>1</v>
      </c>
      <c r="P288" s="186">
        <f>COUNTIF(O$2:O288, TRUE)/(COUNTIF(O$2:O288,FALSE) + COUNTIF(O$2:O288, TRUE))</f>
        <v>0.50174216027874563</v>
      </c>
      <c r="Q288" s="174">
        <v>335247.19</v>
      </c>
      <c r="R288" s="174">
        <f t="shared" si="108"/>
        <v>55624.650000000023</v>
      </c>
      <c r="S288" s="174">
        <v>-29330</v>
      </c>
      <c r="T288" s="174">
        <f t="shared" si="109"/>
        <v>20201.840000000026</v>
      </c>
      <c r="U288" s="186">
        <f>STDEV(D$2:D288)*SQRT(252)</f>
        <v>0.16481360805187978</v>
      </c>
      <c r="V288" s="186">
        <f>STDEV(L$2:L288)*SQRT(252)</f>
        <v>0.35374517129723698</v>
      </c>
      <c r="W288" s="184">
        <f t="shared" si="107"/>
        <v>-6.4510845240131703E-2</v>
      </c>
    </row>
    <row r="289" spans="1:23" ht="20.100000000000001" customHeight="1" x14ac:dyDescent="0.25">
      <c r="B289" s="173">
        <v>42650</v>
      </c>
      <c r="C289" s="217">
        <v>2153.7399999999998</v>
      </c>
      <c r="D289" s="172">
        <f t="shared" si="110"/>
        <v>-3.2534698278855224E-3</v>
      </c>
      <c r="E289" s="211">
        <f t="shared" si="114"/>
        <v>2.4400220695953143E-2</v>
      </c>
      <c r="F289" s="221">
        <v>5292.4</v>
      </c>
      <c r="G289" s="172">
        <f t="shared" si="111"/>
        <v>-2.7228958798535341E-3</v>
      </c>
      <c r="H289" s="205">
        <f t="shared" si="115"/>
        <v>3.9417090559145239E-2</v>
      </c>
      <c r="I289" s="223">
        <v>386326.18</v>
      </c>
      <c r="J289" s="174">
        <v>400000</v>
      </c>
      <c r="K289" s="174">
        <f t="shared" si="116"/>
        <v>-4545.6600000000326</v>
      </c>
      <c r="L289" s="172">
        <f t="shared" si="112"/>
        <v>-1.1629540772238881E-2</v>
      </c>
      <c r="M289" s="184">
        <f t="shared" si="106"/>
        <v>-13673.820000000007</v>
      </c>
      <c r="N289" s="186">
        <f t="shared" si="113"/>
        <v>-3.4184550000000015E-2</v>
      </c>
      <c r="O289" s="184" t="b">
        <f t="shared" si="117"/>
        <v>0</v>
      </c>
      <c r="P289" s="186">
        <f>COUNTIF(O$2:O289, TRUE)/(COUNTIF(O$2:O289,FALSE) + COUNTIF(O$2:O289, TRUE))</f>
        <v>0.5</v>
      </c>
      <c r="Q289" s="174">
        <v>340123.03</v>
      </c>
      <c r="R289" s="174">
        <f t="shared" si="108"/>
        <v>46203.149999999965</v>
      </c>
      <c r="S289" s="174">
        <v>-30659</v>
      </c>
      <c r="T289" s="174">
        <f t="shared" si="109"/>
        <v>16985.179999999993</v>
      </c>
      <c r="U289" s="186">
        <f>STDEV(D$2:D289)*SQRT(252)</f>
        <v>0.16455611820081531</v>
      </c>
      <c r="V289" s="186">
        <f>STDEV(L$2:L289)*SQRT(252)</f>
        <v>0.35330879271171961</v>
      </c>
      <c r="W289" s="184">
        <f t="shared" si="107"/>
        <v>-9.6755446524912025E-2</v>
      </c>
    </row>
    <row r="290" spans="1:23" ht="20.100000000000001" customHeight="1" x14ac:dyDescent="0.25">
      <c r="B290" s="246">
        <v>42653</v>
      </c>
      <c r="C290" s="247">
        <v>2163.66</v>
      </c>
      <c r="D290" s="172">
        <f t="shared" si="110"/>
        <v>4.6059412928208948E-3</v>
      </c>
      <c r="E290" s="248">
        <f t="shared" si="114"/>
        <v>2.911854797283147E-2</v>
      </c>
      <c r="F290" s="249">
        <v>5328.67</v>
      </c>
      <c r="G290" s="172">
        <f t="shared" si="111"/>
        <v>6.8532234902880431E-3</v>
      </c>
      <c r="H290" s="250">
        <f t="shared" si="115"/>
        <v>4.6540448180372028E-2</v>
      </c>
      <c r="I290" s="251">
        <v>390200.44</v>
      </c>
      <c r="J290" s="252">
        <v>400000</v>
      </c>
      <c r="K290" s="252">
        <f t="shared" si="116"/>
        <v>3874.2600000000093</v>
      </c>
      <c r="L290" s="172">
        <f t="shared" si="112"/>
        <v>1.0028468689333997E-2</v>
      </c>
      <c r="M290" s="253">
        <f t="shared" si="106"/>
        <v>-9799.5599999999977</v>
      </c>
      <c r="N290" s="254">
        <f t="shared" si="113"/>
        <v>-2.4498899999999994E-2</v>
      </c>
      <c r="O290" s="253" t="b">
        <f t="shared" si="117"/>
        <v>1</v>
      </c>
      <c r="P290" s="254">
        <f>COUNTIF(O$2:O290, TRUE)/(COUNTIF(O$2:O290,FALSE) + COUNTIF(O$2:O290, TRUE))</f>
        <v>0.5017301038062284</v>
      </c>
      <c r="Q290" s="252">
        <v>340124.03</v>
      </c>
      <c r="R290" s="252">
        <f t="shared" si="108"/>
        <v>50076.409999999974</v>
      </c>
      <c r="S290" s="252">
        <v>-26735</v>
      </c>
      <c r="T290" s="252">
        <f t="shared" si="109"/>
        <v>16935.440000000002</v>
      </c>
      <c r="U290" s="254">
        <f>STDEV(D$2:D290)*SQRT(252)</f>
        <v>0.16432235109111573</v>
      </c>
      <c r="V290" s="254">
        <f>STDEV(L$2:L290)*SQRT(252)</f>
        <v>0.35280655192521093</v>
      </c>
      <c r="W290" s="253">
        <f t="shared" si="107"/>
        <v>-6.944003694464651E-2</v>
      </c>
    </row>
    <row r="291" spans="1:23" ht="20.100000000000001" customHeight="1" x14ac:dyDescent="0.25">
      <c r="A291" s="167" t="s">
        <v>305</v>
      </c>
      <c r="B291" s="173">
        <v>42661</v>
      </c>
      <c r="C291" s="217">
        <v>2139.6</v>
      </c>
      <c r="D291" s="172">
        <f t="shared" si="110"/>
        <v>-1.1120046587726327E-2</v>
      </c>
      <c r="E291" s="211">
        <f t="shared" si="114"/>
        <v>1.7674701775080313E-2</v>
      </c>
      <c r="F291" s="221">
        <v>5243.83</v>
      </c>
      <c r="G291" s="172">
        <f t="shared" si="111"/>
        <v>-1.592142129274287E-2</v>
      </c>
      <c r="H291" s="205">
        <f t="shared" si="115"/>
        <v>2.9878036804996389E-2</v>
      </c>
      <c r="I291" s="223">
        <v>374649.22</v>
      </c>
      <c r="J291" s="174">
        <v>400000</v>
      </c>
      <c r="K291" s="174">
        <f t="shared" si="116"/>
        <v>-15551.22000000003</v>
      </c>
      <c r="L291" s="172">
        <f t="shared" si="112"/>
        <v>-3.9854439938612138E-2</v>
      </c>
      <c r="M291" s="184">
        <f t="shared" si="106"/>
        <v>-25350.780000000028</v>
      </c>
      <c r="N291" s="186">
        <f t="shared" si="113"/>
        <v>-6.3376950000000071E-2</v>
      </c>
      <c r="O291" s="184" t="b">
        <f t="shared" si="117"/>
        <v>0</v>
      </c>
      <c r="P291" s="186">
        <f>COUNTIF(O$2:O291, TRUE)/(COUNTIF(O$2:O291,FALSE) + COUNTIF(O$2:O291, TRUE))</f>
        <v>0.5</v>
      </c>
      <c r="Q291" s="174">
        <v>325873.59999999998</v>
      </c>
      <c r="R291" s="174">
        <f t="shared" si="108"/>
        <v>48775.619999999995</v>
      </c>
      <c r="S291" s="174">
        <v>-42252</v>
      </c>
      <c r="T291" s="174">
        <f t="shared" si="109"/>
        <v>16901.219999999972</v>
      </c>
      <c r="U291" s="186">
        <f>STDEV(D$2:D291)*SQRT(252)</f>
        <v>0.16437424820296684</v>
      </c>
      <c r="V291" s="186">
        <f>STDEV(L$2:L291)*SQRT(252)</f>
        <v>0.35420191935581979</v>
      </c>
      <c r="W291" s="184">
        <f t="shared" si="107"/>
        <v>-0.17892887230894319</v>
      </c>
    </row>
    <row r="292" spans="1:23" ht="20.100000000000001" customHeight="1" x14ac:dyDescent="0.25">
      <c r="B292" s="173">
        <v>42662</v>
      </c>
      <c r="C292" s="217">
        <v>2144.29</v>
      </c>
      <c r="D292" s="172">
        <f t="shared" si="110"/>
        <v>2.1919985043933701E-3</v>
      </c>
      <c r="E292" s="211">
        <f t="shared" si="114"/>
        <v>1.9905443199330259E-2</v>
      </c>
      <c r="F292" s="221">
        <v>5246.41</v>
      </c>
      <c r="G292" s="172">
        <f t="shared" si="111"/>
        <v>4.9200679655898979E-4</v>
      </c>
      <c r="H292" s="205">
        <f t="shared" si="115"/>
        <v>3.0384743798731278E-2</v>
      </c>
      <c r="I292" s="223">
        <v>380216.65</v>
      </c>
      <c r="J292" s="174">
        <v>400000</v>
      </c>
      <c r="K292" s="174">
        <f t="shared" si="116"/>
        <v>5567.4300000000512</v>
      </c>
      <c r="L292" s="172">
        <f t="shared" si="112"/>
        <v>1.4860380598150055E-2</v>
      </c>
      <c r="M292" s="184">
        <f t="shared" si="106"/>
        <v>-19783.349999999977</v>
      </c>
      <c r="N292" s="186">
        <f t="shared" si="113"/>
        <v>-4.9458374999999943E-2</v>
      </c>
      <c r="O292" s="184" t="b">
        <f t="shared" si="117"/>
        <v>1</v>
      </c>
      <c r="P292" s="186">
        <f>COUNTIF(O$2:O292, TRUE)/(COUNTIF(O$2:O292,FALSE) + COUNTIF(O$2:O292, TRUE))</f>
        <v>0.50171821305841924</v>
      </c>
      <c r="Q292" s="174">
        <v>324057.2</v>
      </c>
      <c r="R292" s="174">
        <f t="shared" si="108"/>
        <v>56159.450000000012</v>
      </c>
      <c r="S292" s="174">
        <v>-37035</v>
      </c>
      <c r="T292" s="174">
        <f t="shared" si="109"/>
        <v>17251.650000000023</v>
      </c>
      <c r="U292" s="186">
        <f>STDEV(D$2:D292)*SQRT(252)</f>
        <v>0.16410104874699943</v>
      </c>
      <c r="V292" s="186">
        <f>STDEV(L$2:L292)*SQRT(252)</f>
        <v>0.3538474741949057</v>
      </c>
      <c r="W292" s="184">
        <f t="shared" si="107"/>
        <v>-0.13977314692589091</v>
      </c>
    </row>
    <row r="293" spans="1:23" ht="20.100000000000001" customHeight="1" x14ac:dyDescent="0.25">
      <c r="B293" s="173">
        <v>42663</v>
      </c>
      <c r="C293" s="217">
        <v>2141.34</v>
      </c>
      <c r="D293" s="172">
        <f t="shared" si="110"/>
        <v>-1.3757467506726321E-3</v>
      </c>
      <c r="E293" s="211">
        <f t="shared" si="114"/>
        <v>1.850231159985545E-2</v>
      </c>
      <c r="F293" s="221">
        <v>5241.83</v>
      </c>
      <c r="G293" s="172">
        <f t="shared" ref="G293:G306" si="118">(F293-F292)/F292</f>
        <v>-8.7297790298507499E-4</v>
      </c>
      <c r="H293" s="205">
        <f t="shared" si="115"/>
        <v>2.9485240685822048E-2</v>
      </c>
      <c r="I293" s="223">
        <v>381021.44</v>
      </c>
      <c r="J293" s="174">
        <v>400000</v>
      </c>
      <c r="K293" s="174">
        <f t="shared" si="116"/>
        <v>804.78999999997905</v>
      </c>
      <c r="L293" s="172">
        <f t="shared" si="112"/>
        <v>2.1166616454065834E-3</v>
      </c>
      <c r="M293" s="184">
        <f t="shared" si="106"/>
        <v>-18978.559999999998</v>
      </c>
      <c r="N293" s="186">
        <f t="shared" si="113"/>
        <v>-4.7446399999999993E-2</v>
      </c>
      <c r="O293" s="184" t="b">
        <f t="shared" si="117"/>
        <v>1</v>
      </c>
      <c r="P293" s="186">
        <f>COUNTIF(O$2:O293, TRUE)/(COUNTIF(O$2:O293,FALSE) + COUNTIF(O$2:O293, TRUE))</f>
        <v>0.50342465753424659</v>
      </c>
      <c r="Q293" s="174">
        <v>320933.90000000002</v>
      </c>
      <c r="R293" s="174">
        <f t="shared" si="108"/>
        <v>60087.539999999979</v>
      </c>
      <c r="S293" s="174">
        <v>-36535</v>
      </c>
      <c r="T293" s="174">
        <f t="shared" si="109"/>
        <v>17556.440000000002</v>
      </c>
      <c r="U293" s="186">
        <f>STDEV(D$2:D293)*SQRT(252)</f>
        <v>0.16382379522732679</v>
      </c>
      <c r="V293" s="186">
        <f>STDEV(L$2:L293)*SQRT(252)</f>
        <v>0.35324050890305325</v>
      </c>
      <c r="W293" s="184">
        <f t="shared" si="107"/>
        <v>-0.13431755080225424</v>
      </c>
    </row>
    <row r="294" spans="1:23" ht="20.100000000000001" customHeight="1" x14ac:dyDescent="0.25">
      <c r="B294" s="173">
        <v>42664</v>
      </c>
      <c r="C294" s="217">
        <v>2141.16</v>
      </c>
      <c r="D294" s="172">
        <f t="shared" si="110"/>
        <v>-8.4059514136144197E-5</v>
      </c>
      <c r="E294" s="211">
        <f t="shared" si="114"/>
        <v>1.8416696790395825E-2</v>
      </c>
      <c r="F294" s="221">
        <v>5257.4</v>
      </c>
      <c r="G294" s="172">
        <f t="shared" si="118"/>
        <v>2.9703366953906765E-3</v>
      </c>
      <c r="H294" s="205">
        <f t="shared" si="115"/>
        <v>3.254315847359425E-2</v>
      </c>
      <c r="I294" s="223">
        <v>378995.29</v>
      </c>
      <c r="J294" s="174">
        <v>400000</v>
      </c>
      <c r="K294" s="174">
        <f t="shared" si="116"/>
        <v>-2026.1500000000233</v>
      </c>
      <c r="L294" s="172">
        <f t="shared" si="112"/>
        <v>-5.3176797610129849E-3</v>
      </c>
      <c r="M294" s="184">
        <f t="shared" si="106"/>
        <v>-21004.710000000021</v>
      </c>
      <c r="N294" s="186">
        <f t="shared" si="113"/>
        <v>-5.2511775000000052E-2</v>
      </c>
      <c r="O294" s="184" t="b">
        <f t="shared" si="117"/>
        <v>0</v>
      </c>
      <c r="P294" s="186">
        <f>COUNTIF(O$2:O294, TRUE)/(COUNTIF(O$2:O294,FALSE) + COUNTIF(O$2:O294, TRUE))</f>
        <v>0.50170648464163825</v>
      </c>
      <c r="Q294" s="174">
        <v>320934.90000000002</v>
      </c>
      <c r="R294" s="174">
        <f t="shared" si="108"/>
        <v>58060.389999999956</v>
      </c>
      <c r="S294" s="174">
        <v>-36534</v>
      </c>
      <c r="T294" s="174">
        <f t="shared" si="109"/>
        <v>15529.289999999979</v>
      </c>
      <c r="U294" s="186">
        <f>STDEV(D$2:D294)*SQRT(252)</f>
        <v>0.16354217458793488</v>
      </c>
      <c r="V294" s="186">
        <f>STDEV(L$2:L294)*SQRT(252)</f>
        <v>0.35267302551448443</v>
      </c>
      <c r="W294" s="184">
        <f t="shared" si="107"/>
        <v>-0.14889648825110774</v>
      </c>
    </row>
    <row r="295" spans="1:23" ht="20.100000000000001" customHeight="1" x14ac:dyDescent="0.25">
      <c r="B295" s="246">
        <v>42667</v>
      </c>
      <c r="C295" s="247">
        <v>2151.33</v>
      </c>
      <c r="D295" s="172">
        <f t="shared" si="110"/>
        <v>4.7497618113546275E-3</v>
      </c>
      <c r="E295" s="248">
        <f t="shared" si="114"/>
        <v>2.3253933524856774E-2</v>
      </c>
      <c r="F295" s="249">
        <v>5309.82</v>
      </c>
      <c r="G295" s="172">
        <f t="shared" si="118"/>
        <v>9.9707079545022399E-3</v>
      </c>
      <c r="H295" s="250">
        <f t="shared" si="115"/>
        <v>4.2838344757153778E-2</v>
      </c>
      <c r="I295" s="251">
        <v>378540.69</v>
      </c>
      <c r="J295" s="252">
        <v>400000</v>
      </c>
      <c r="K295" s="252">
        <f t="shared" si="116"/>
        <v>-454.59999999997672</v>
      </c>
      <c r="L295" s="172">
        <f t="shared" si="112"/>
        <v>-1.1994872020704445E-3</v>
      </c>
      <c r="M295" s="253">
        <f t="shared" si="106"/>
        <v>-21459.309999999998</v>
      </c>
      <c r="N295" s="254">
        <f t="shared" si="113"/>
        <v>-5.3648274999999995E-2</v>
      </c>
      <c r="O295" s="253" t="b">
        <f t="shared" si="117"/>
        <v>0</v>
      </c>
      <c r="P295" s="254">
        <f>COUNTIF(O$2:O295, TRUE)/(COUNTIF(O$2:O295,FALSE) + COUNTIF(O$2:O295, TRUE))</f>
        <v>0.5</v>
      </c>
      <c r="Q295" s="252">
        <v>324753.15000000002</v>
      </c>
      <c r="R295" s="252">
        <f t="shared" si="108"/>
        <v>53787.539999999979</v>
      </c>
      <c r="S295" s="252">
        <v>-39269</v>
      </c>
      <c r="T295" s="252">
        <f t="shared" si="109"/>
        <v>17809.690000000002</v>
      </c>
      <c r="U295" s="254">
        <f>STDEV(D$2:D295)*SQRT(252)</f>
        <v>0.16331845604618789</v>
      </c>
      <c r="V295" s="254">
        <f>STDEV(L$2:L295)*SQRT(252)</f>
        <v>0.35207165866831386</v>
      </c>
      <c r="W295" s="253">
        <f t="shared" si="107"/>
        <v>-0.15237885151824149</v>
      </c>
    </row>
    <row r="296" spans="1:23" ht="20.100000000000001" customHeight="1" x14ac:dyDescent="0.25">
      <c r="B296" s="246">
        <v>42668</v>
      </c>
      <c r="C296" s="247">
        <v>2143.16</v>
      </c>
      <c r="D296" s="172">
        <f t="shared" ref="D296:D306" si="119">(C296-C295)/C295</f>
        <v>-3.797650755579141E-3</v>
      </c>
      <c r="E296" s="248">
        <f t="shared" si="114"/>
        <v>1.9367972451056772E-2</v>
      </c>
      <c r="F296" s="249">
        <v>5283.39</v>
      </c>
      <c r="G296" s="172">
        <f t="shared" si="118"/>
        <v>-4.9775698611251194E-3</v>
      </c>
      <c r="H296" s="250">
        <f t="shared" si="115"/>
        <v>3.764754404226496E-2</v>
      </c>
      <c r="I296" s="251">
        <v>374243.66</v>
      </c>
      <c r="J296" s="252">
        <v>400000</v>
      </c>
      <c r="K296" s="252">
        <f t="shared" si="116"/>
        <v>-4297.0300000000279</v>
      </c>
      <c r="L296" s="172">
        <f>K296/I295</f>
        <v>-1.1351566987422219E-2</v>
      </c>
      <c r="M296" s="253">
        <f t="shared" si="106"/>
        <v>-25756.340000000026</v>
      </c>
      <c r="N296" s="254">
        <f t="shared" si="113"/>
        <v>-6.4390850000000069E-2</v>
      </c>
      <c r="O296" s="253" t="b">
        <f t="shared" si="117"/>
        <v>0</v>
      </c>
      <c r="P296" s="254">
        <f>COUNTIF(O$2:O296, TRUE)/(COUNTIF(O$2:O296,FALSE) + COUNTIF(O$2:O296, TRUE))</f>
        <v>0.49830508474576274</v>
      </c>
      <c r="Q296" s="252">
        <v>324754.15000000002</v>
      </c>
      <c r="R296" s="252">
        <f t="shared" si="108"/>
        <v>49489.509999999951</v>
      </c>
      <c r="S296" s="252">
        <v>-44170</v>
      </c>
      <c r="T296" s="252">
        <f t="shared" si="109"/>
        <v>18413.659999999974</v>
      </c>
      <c r="U296" s="254">
        <f>STDEV(D$2:D296)*SQRT(252)</f>
        <v>0.16308008977690622</v>
      </c>
      <c r="V296" s="254">
        <f>STDEV(L$2:L296)*SQRT(252)</f>
        <v>0.35163793771094465</v>
      </c>
      <c r="W296" s="253">
        <f t="shared" si="107"/>
        <v>-0.18311690262764249</v>
      </c>
    </row>
    <row r="297" spans="1:23" ht="20.100000000000001" customHeight="1" x14ac:dyDescent="0.25">
      <c r="B297" s="246">
        <v>42669</v>
      </c>
      <c r="C297" s="247">
        <v>2139.4299999999998</v>
      </c>
      <c r="D297" s="172">
        <f t="shared" si="119"/>
        <v>-1.7404206872095496E-3</v>
      </c>
      <c r="E297" s="248">
        <f t="shared" si="114"/>
        <v>1.7593843343924099E-2</v>
      </c>
      <c r="F297" s="249">
        <v>5250.26</v>
      </c>
      <c r="G297" s="172">
        <f t="shared" si="118"/>
        <v>-6.2705952049725852E-3</v>
      </c>
      <c r="H297" s="250">
        <f t="shared" si="115"/>
        <v>3.1140876328141956E-2</v>
      </c>
      <c r="I297" s="251">
        <v>374681.1</v>
      </c>
      <c r="J297" s="252">
        <v>400000</v>
      </c>
      <c r="K297" s="252">
        <f t="shared" si="116"/>
        <v>437.44000000000233</v>
      </c>
      <c r="L297" s="172">
        <f>K297/I296</f>
        <v>1.1688641565764997E-3</v>
      </c>
      <c r="M297" s="253">
        <f t="shared" si="106"/>
        <v>-25318.900000000023</v>
      </c>
      <c r="N297" s="254">
        <f t="shared" si="113"/>
        <v>-6.3297250000000055E-2</v>
      </c>
      <c r="O297" s="253" t="b">
        <f t="shared" si="117"/>
        <v>1</v>
      </c>
      <c r="P297" s="254">
        <f>COUNTIF(O$2:O297, TRUE)/(COUNTIF(O$2:O297,FALSE) + COUNTIF(O$2:O297, TRUE))</f>
        <v>0.5</v>
      </c>
      <c r="Q297" s="252">
        <v>325355.95</v>
      </c>
      <c r="R297" s="252">
        <f t="shared" si="108"/>
        <v>49325.149999999965</v>
      </c>
      <c r="S297" s="252">
        <v>-44067</v>
      </c>
      <c r="T297" s="252">
        <f t="shared" si="109"/>
        <v>18748.099999999977</v>
      </c>
      <c r="U297" s="254">
        <f>STDEV(D$2:D297)*SQRT(252)</f>
        <v>0.16281156659849447</v>
      </c>
      <c r="V297" s="254">
        <f>STDEV(L$2:L297)*SQRT(252)</f>
        <v>0.3510402532906407</v>
      </c>
      <c r="W297" s="253">
        <f t="shared" si="107"/>
        <v>-0.18031336693343156</v>
      </c>
    </row>
    <row r="298" spans="1:23" ht="20.100000000000001" customHeight="1" x14ac:dyDescent="0.25">
      <c r="B298" s="246">
        <v>42670</v>
      </c>
      <c r="C298" s="247">
        <v>2133.04</v>
      </c>
      <c r="D298" s="172">
        <f t="shared" si="119"/>
        <v>-2.9867768517782183E-3</v>
      </c>
      <c r="E298" s="248">
        <f t="shared" si="114"/>
        <v>1.4554517608112435E-2</v>
      </c>
      <c r="F298" s="249">
        <v>5215.97</v>
      </c>
      <c r="G298" s="172">
        <f t="shared" si="118"/>
        <v>-6.5311051262223136E-3</v>
      </c>
      <c r="H298" s="250">
        <f t="shared" si="115"/>
        <v>2.440638686489786E-2</v>
      </c>
      <c r="I298" s="251">
        <v>371125.09</v>
      </c>
      <c r="J298" s="252">
        <v>400000</v>
      </c>
      <c r="K298" s="252">
        <f t="shared" si="116"/>
        <v>-3556.0099999999511</v>
      </c>
      <c r="L298" s="172">
        <f>K298/I297</f>
        <v>-9.4907642792763005E-3</v>
      </c>
      <c r="M298" s="253">
        <f t="shared" si="106"/>
        <v>-28874.909999999974</v>
      </c>
      <c r="N298" s="254">
        <f t="shared" si="113"/>
        <v>-7.218727499999994E-2</v>
      </c>
      <c r="O298" s="253" t="b">
        <f t="shared" si="117"/>
        <v>0</v>
      </c>
      <c r="P298" s="254">
        <f>COUNTIF(O$2:O298, TRUE)/(COUNTIF(O$2:O298,FALSE) + COUNTIF(O$2:O298, TRUE))</f>
        <v>0.49831649831649832</v>
      </c>
      <c r="Q298" s="252">
        <v>360946.85</v>
      </c>
      <c r="R298" s="252">
        <f t="shared" si="108"/>
        <v>10178.240000000049</v>
      </c>
      <c r="S298" s="252">
        <v>-47280</v>
      </c>
      <c r="T298" s="252">
        <f t="shared" si="109"/>
        <v>18405.090000000026</v>
      </c>
      <c r="U298" s="254">
        <f>STDEV(D$2:D298)*SQRT(252)</f>
        <v>0.16256052123167744</v>
      </c>
      <c r="V298" s="254">
        <f>STDEV(L$2:L298)*SQRT(252)</f>
        <v>0.3505620528969402</v>
      </c>
      <c r="W298" s="253">
        <f t="shared" si="107"/>
        <v>-0.20591867945622133</v>
      </c>
    </row>
    <row r="299" spans="1:23" ht="20.100000000000001" customHeight="1" x14ac:dyDescent="0.25">
      <c r="B299" s="246">
        <v>42671</v>
      </c>
      <c r="C299" s="247">
        <v>2126.41</v>
      </c>
      <c r="D299" s="172">
        <f t="shared" si="119"/>
        <v>-3.1082398829839616E-3</v>
      </c>
      <c r="E299" s="248">
        <f t="shared" si="114"/>
        <v>1.1401038793021347E-2</v>
      </c>
      <c r="F299" s="249">
        <v>5190.1000000000004</v>
      </c>
      <c r="G299" s="172">
        <f t="shared" si="118"/>
        <v>-4.9597677900754585E-3</v>
      </c>
      <c r="H299" s="250">
        <f t="shared" si="115"/>
        <v>1.9325569063377762E-2</v>
      </c>
      <c r="I299" s="251">
        <v>366496.83</v>
      </c>
      <c r="J299" s="252">
        <v>400000</v>
      </c>
      <c r="K299" s="252">
        <f t="shared" si="116"/>
        <v>-4628.2600000000093</v>
      </c>
      <c r="L299" s="172">
        <f>K299/I298</f>
        <v>-1.2470889532152108E-2</v>
      </c>
      <c r="M299" s="253">
        <f t="shared" si="106"/>
        <v>-33503.169999999984</v>
      </c>
      <c r="N299" s="254">
        <f t="shared" si="113"/>
        <v>-8.3757924999999955E-2</v>
      </c>
      <c r="O299" s="253" t="b">
        <f t="shared" si="117"/>
        <v>0</v>
      </c>
      <c r="P299" s="254">
        <f>COUNTIF(O$2:O299, TRUE)/(COUNTIF(O$2:O299,FALSE) + COUNTIF(O$2:O299, TRUE))</f>
        <v>0.49664429530201343</v>
      </c>
      <c r="Q299" s="252">
        <v>352107.26</v>
      </c>
      <c r="R299" s="252">
        <f t="shared" si="108"/>
        <v>14389.570000000007</v>
      </c>
      <c r="S299" s="252">
        <v>-51134</v>
      </c>
      <c r="T299" s="252">
        <f t="shared" si="109"/>
        <v>17630.830000000016</v>
      </c>
      <c r="U299" s="254">
        <f>STDEV(D$2:D299)*SQRT(252)</f>
        <v>0.16231261803243649</v>
      </c>
      <c r="V299" s="254">
        <f>STDEV(L$2:L299)*SQRT(252)</f>
        <v>0.35016714235962632</v>
      </c>
      <c r="W299" s="253">
        <f t="shared" si="107"/>
        <v>-0.23919413008196941</v>
      </c>
    </row>
    <row r="300" spans="1:23" ht="20.100000000000001" customHeight="1" x14ac:dyDescent="0.25">
      <c r="B300" s="173">
        <v>42674</v>
      </c>
      <c r="C300" s="217">
        <v>2126.15</v>
      </c>
      <c r="D300" s="172">
        <f t="shared" si="119"/>
        <v>-1.2227181023403931E-4</v>
      </c>
      <c r="E300" s="211">
        <f t="shared" si="114"/>
        <v>1.1277372957135537E-2</v>
      </c>
      <c r="F300" s="221">
        <v>5189.13</v>
      </c>
      <c r="G300" s="172">
        <f t="shared" si="118"/>
        <v>-1.8689427949370043E-4</v>
      </c>
      <c r="H300" s="205">
        <f t="shared" si="115"/>
        <v>1.9135062945578155E-2</v>
      </c>
      <c r="I300" s="420">
        <v>359986.87</v>
      </c>
      <c r="J300" s="174">
        <v>400000</v>
      </c>
      <c r="K300" s="174">
        <f t="shared" si="116"/>
        <v>-6509.960000000021</v>
      </c>
      <c r="L300" s="172">
        <f>K300/I299</f>
        <v>-1.7762663868061343E-2</v>
      </c>
      <c r="M300" s="184">
        <f t="shared" si="106"/>
        <v>-40013.130000000005</v>
      </c>
      <c r="N300" s="186">
        <f t="shared" si="113"/>
        <v>-0.10003282500000001</v>
      </c>
      <c r="O300" s="184" t="b">
        <f t="shared" si="117"/>
        <v>0</v>
      </c>
      <c r="P300" s="186">
        <f>COUNTIF(O$2:O300, TRUE)/(COUNTIF(O$2:O300,FALSE) + COUNTIF(O$2:O300, TRUE))</f>
        <v>0.49498327759197325</v>
      </c>
      <c r="Q300" s="174">
        <v>351183.05</v>
      </c>
      <c r="R300" s="174">
        <f t="shared" si="108"/>
        <v>8803.820000000007</v>
      </c>
      <c r="S300" s="174">
        <v>-57393</v>
      </c>
      <c r="T300" s="174">
        <f t="shared" si="109"/>
        <v>17379.869999999995</v>
      </c>
      <c r="U300" s="186">
        <f>STDEV(D$2:D300)*SQRT(252)</f>
        <v>0.16203925205045192</v>
      </c>
      <c r="V300" s="186">
        <f>STDEV(L$2:L300)*SQRT(252)</f>
        <v>0.34996980187049981</v>
      </c>
      <c r="W300" s="184">
        <f t="shared" si="107"/>
        <v>-0.2858327331825487</v>
      </c>
    </row>
    <row r="301" spans="1:23" ht="20.100000000000001" customHeight="1" x14ac:dyDescent="0.25">
      <c r="B301" s="173">
        <v>42675</v>
      </c>
      <c r="C301" s="217">
        <v>2111.7199999999998</v>
      </c>
      <c r="D301" s="172">
        <f t="shared" si="119"/>
        <v>-6.7869153164171348E-3</v>
      </c>
      <c r="E301" s="211">
        <f t="shared" si="114"/>
        <v>4.4139190654666699E-3</v>
      </c>
      <c r="F301" s="221">
        <v>5153.57</v>
      </c>
      <c r="G301" s="172">
        <f t="shared" si="118"/>
        <v>-6.8527864979294022E-3</v>
      </c>
      <c r="H301" s="205">
        <f t="shared" si="115"/>
        <v>1.2151147946658267E-2</v>
      </c>
      <c r="I301" s="223">
        <v>360227.22</v>
      </c>
      <c r="J301" s="174">
        <v>400000</v>
      </c>
      <c r="K301" s="174">
        <f t="shared" si="116"/>
        <v>240.34999999997672</v>
      </c>
      <c r="L301" s="172">
        <f t="shared" ref="L301:L306" si="120">K301/I300</f>
        <v>6.6766324005088497E-4</v>
      </c>
      <c r="M301" s="184">
        <f t="shared" si="106"/>
        <v>-39772.780000000028</v>
      </c>
      <c r="N301" s="186">
        <f t="shared" si="113"/>
        <v>-9.9431950000000074E-2</v>
      </c>
      <c r="O301" s="184" t="b">
        <f t="shared" si="117"/>
        <v>1</v>
      </c>
      <c r="P301" s="186">
        <f>COUNTIF(O$2:O301, TRUE)/(COUNTIF(O$2:O301,FALSE) + COUNTIF(O$2:O301, TRUE))</f>
        <v>0.49666666666666665</v>
      </c>
      <c r="Q301" s="174">
        <v>351313.75</v>
      </c>
      <c r="R301" s="174">
        <f t="shared" si="108"/>
        <v>8913.4699999999721</v>
      </c>
      <c r="S301" s="174">
        <v>-56508</v>
      </c>
      <c r="T301" s="174">
        <f t="shared" si="109"/>
        <v>16735.219999999972</v>
      </c>
      <c r="U301" s="186">
        <f>STDEV(D$2:D301)*SQRT(252)</f>
        <v>0.16189028230482433</v>
      </c>
      <c r="V301" s="186">
        <f>STDEV(L$2:L301)*SQRT(252)</f>
        <v>0.34938237475224687</v>
      </c>
      <c r="W301" s="184">
        <f t="shared" si="107"/>
        <v>-0.28459349178821342</v>
      </c>
    </row>
    <row r="302" spans="1:23" ht="20.100000000000001" customHeight="1" x14ac:dyDescent="0.25">
      <c r="B302" s="173">
        <v>42676</v>
      </c>
      <c r="C302" s="217">
        <v>2097.94</v>
      </c>
      <c r="D302" s="172">
        <f t="shared" si="119"/>
        <v>-6.525486333415295E-3</v>
      </c>
      <c r="E302" s="211">
        <f t="shared" si="114"/>
        <v>-2.1403702364871293E-3</v>
      </c>
      <c r="F302" s="221">
        <v>5105.5600000000004</v>
      </c>
      <c r="G302" s="172">
        <f t="shared" si="118"/>
        <v>-9.3158722982319662E-3</v>
      </c>
      <c r="H302" s="205">
        <f t="shared" si="115"/>
        <v>2.7220771058783086E-3</v>
      </c>
      <c r="I302" s="223">
        <v>350822.36</v>
      </c>
      <c r="J302" s="174">
        <v>400000</v>
      </c>
      <c r="K302" s="174">
        <f t="shared" si="116"/>
        <v>-9404.859999999986</v>
      </c>
      <c r="L302" s="172">
        <f t="shared" si="120"/>
        <v>-2.6108132528130403E-2</v>
      </c>
      <c r="M302" s="184">
        <f t="shared" si="106"/>
        <v>-49177.640000000014</v>
      </c>
      <c r="N302" s="186">
        <f t="shared" si="113"/>
        <v>-0.12294410000000003</v>
      </c>
      <c r="O302" s="184" t="b">
        <f t="shared" si="117"/>
        <v>0</v>
      </c>
      <c r="P302" s="186">
        <f>COUNTIF(O$2:O302, TRUE)/(COUNTIF(O$2:O302,FALSE) + COUNTIF(O$2:O302, TRUE))</f>
        <v>0.49501661129568109</v>
      </c>
      <c r="Q302" s="174">
        <v>330288.3</v>
      </c>
      <c r="R302" s="174">
        <f t="shared" si="108"/>
        <v>20534.059999999998</v>
      </c>
      <c r="S302" s="174">
        <v>-66283</v>
      </c>
      <c r="T302" s="174">
        <f t="shared" si="109"/>
        <v>17105.359999999986</v>
      </c>
      <c r="U302" s="186">
        <f>STDEV(D$2:D302)*SQRT(252)</f>
        <v>0.16173222652481728</v>
      </c>
      <c r="V302" s="186">
        <f>STDEV(L$2:L302)*SQRT(252)</f>
        <v>0.34963013361097944</v>
      </c>
      <c r="W302" s="184">
        <f t="shared" si="107"/>
        <v>-0.35164045710314945</v>
      </c>
    </row>
    <row r="303" spans="1:23" ht="20.100000000000001" customHeight="1" x14ac:dyDescent="0.25">
      <c r="B303" s="173">
        <v>42677</v>
      </c>
      <c r="C303" s="217">
        <v>2088.66</v>
      </c>
      <c r="D303" s="172">
        <f t="shared" si="119"/>
        <v>-4.423386750812797E-3</v>
      </c>
      <c r="E303" s="211">
        <f t="shared" si="114"/>
        <v>-6.5542893019540152E-3</v>
      </c>
      <c r="F303" s="221">
        <v>5058.3999999999996</v>
      </c>
      <c r="G303" s="172">
        <f t="shared" si="118"/>
        <v>-9.2369886946781082E-3</v>
      </c>
      <c r="H303" s="205">
        <f t="shared" si="115"/>
        <v>-6.54005538425284E-3</v>
      </c>
      <c r="I303" s="223">
        <v>366923.87</v>
      </c>
      <c r="J303" s="174">
        <v>400000</v>
      </c>
      <c r="K303" s="174">
        <f t="shared" si="116"/>
        <v>16101.510000000009</v>
      </c>
      <c r="L303" s="172">
        <f t="shared" si="120"/>
        <v>4.5896475925878866E-2</v>
      </c>
      <c r="M303" s="184">
        <f t="shared" si="106"/>
        <v>-33076.130000000005</v>
      </c>
      <c r="N303" s="186">
        <f t="shared" si="113"/>
        <v>-8.2690325000000009E-2</v>
      </c>
      <c r="O303" s="184" t="b">
        <f t="shared" si="117"/>
        <v>1</v>
      </c>
      <c r="P303" s="186">
        <f>COUNTIF(O$2:O303, TRUE)/(COUNTIF(O$2:O303,FALSE) + COUNTIF(O$2:O303, TRUE))</f>
        <v>0.49668874172185429</v>
      </c>
      <c r="Q303" s="174">
        <v>317968.34999999998</v>
      </c>
      <c r="R303" s="174">
        <f t="shared" si="108"/>
        <v>48955.520000000019</v>
      </c>
      <c r="S303" s="174">
        <v>-47877</v>
      </c>
      <c r="T303" s="174">
        <f t="shared" si="109"/>
        <v>14800.869999999995</v>
      </c>
      <c r="U303" s="186">
        <f>STDEV(D$2:D303)*SQRT(252)</f>
        <v>0.16151419687276639</v>
      </c>
      <c r="V303" s="186">
        <f>STDEV(L$2:L303)*SQRT(252)</f>
        <v>0.35155170674162023</v>
      </c>
      <c r="W303" s="184">
        <f t="shared" si="107"/>
        <v>-0.23521525685771985</v>
      </c>
    </row>
    <row r="304" spans="1:23" ht="20.100000000000001" customHeight="1" x14ac:dyDescent="0.25">
      <c r="B304" s="173">
        <v>42678</v>
      </c>
      <c r="C304" s="217">
        <v>2085.1799999999998</v>
      </c>
      <c r="D304" s="172">
        <f t="shared" si="119"/>
        <v>-1.6661400132142227E-3</v>
      </c>
      <c r="E304" s="211">
        <f t="shared" si="114"/>
        <v>-8.2095089515040708E-3</v>
      </c>
      <c r="F304" s="221">
        <v>5046.37</v>
      </c>
      <c r="G304" s="172">
        <f t="shared" si="118"/>
        <v>-2.3782223628024172E-3</v>
      </c>
      <c r="H304" s="205">
        <f t="shared" si="115"/>
        <v>-8.9027240410864596E-3</v>
      </c>
      <c r="I304" s="223">
        <v>362921.09</v>
      </c>
      <c r="J304" s="174">
        <v>400000</v>
      </c>
      <c r="K304" s="174">
        <f t="shared" si="116"/>
        <v>-4002.7799999999697</v>
      </c>
      <c r="L304" s="172">
        <f t="shared" si="120"/>
        <v>-1.0909020446121343E-2</v>
      </c>
      <c r="M304" s="184">
        <f t="shared" si="106"/>
        <v>-37078.909999999974</v>
      </c>
      <c r="N304" s="186">
        <f t="shared" si="113"/>
        <v>-9.269727499999994E-2</v>
      </c>
      <c r="O304" s="184" t="b">
        <f t="shared" si="117"/>
        <v>0</v>
      </c>
      <c r="P304" s="186">
        <f>COUNTIF(O$2:O304, TRUE)/(COUNTIF(O$2:O304,FALSE) + COUNTIF(O$2:O304, TRUE))</f>
        <v>0.49504950495049505</v>
      </c>
      <c r="Q304" s="174">
        <v>329130.11</v>
      </c>
      <c r="R304" s="174">
        <f t="shared" si="108"/>
        <v>33790.98000000004</v>
      </c>
      <c r="S304" s="174">
        <v>-52170</v>
      </c>
      <c r="T304" s="174">
        <f t="shared" si="109"/>
        <v>15091.090000000026</v>
      </c>
      <c r="U304" s="186">
        <f>STDEV(D$2:D304)*SQRT(252)</f>
        <v>0.16125311992836353</v>
      </c>
      <c r="V304" s="186">
        <f>STDEV(L$2:L304)*SQRT(252)</f>
        <v>0.35111566598352262</v>
      </c>
      <c r="W304" s="184">
        <f t="shared" si="107"/>
        <v>-0.26400780136181706</v>
      </c>
    </row>
    <row r="305" spans="1:23" ht="20.100000000000001" customHeight="1" x14ac:dyDescent="0.25">
      <c r="A305" s="167" t="s">
        <v>315</v>
      </c>
      <c r="B305" s="246">
        <v>42701</v>
      </c>
      <c r="C305" s="247">
        <v>2213.35</v>
      </c>
      <c r="D305" s="172">
        <f t="shared" si="119"/>
        <v>6.1467115548777602E-2</v>
      </c>
      <c r="E305" s="248">
        <f t="shared" si="114"/>
        <v>5.2752991761952708E-2</v>
      </c>
      <c r="F305" s="249">
        <v>5398.92</v>
      </c>
      <c r="G305" s="172">
        <f t="shared" si="118"/>
        <v>6.9862098894849206E-2</v>
      </c>
      <c r="H305" s="250">
        <f t="shared" si="115"/>
        <v>6.0337411866370816E-2</v>
      </c>
      <c r="I305" s="566">
        <v>407026.88</v>
      </c>
      <c r="J305" s="252">
        <v>400000</v>
      </c>
      <c r="K305" s="252">
        <f t="shared" si="116"/>
        <v>44105.789999999979</v>
      </c>
      <c r="L305" s="172">
        <f t="shared" si="120"/>
        <v>0.12152997225925882</v>
      </c>
      <c r="M305" s="253">
        <f t="shared" si="106"/>
        <v>7026.8800000000047</v>
      </c>
      <c r="N305" s="254">
        <f t="shared" si="113"/>
        <v>1.7567200000000012E-2</v>
      </c>
      <c r="O305" s="253" t="b">
        <f t="shared" si="117"/>
        <v>1</v>
      </c>
      <c r="P305" s="254">
        <f>COUNTIF(O$2:O305, TRUE)/(COUNTIF(O$2:O305,FALSE) + COUNTIF(O$2:O305, TRUE))</f>
        <v>0.49671052631578949</v>
      </c>
      <c r="Q305" s="252">
        <v>282065.34000000003</v>
      </c>
      <c r="R305" s="252">
        <f t="shared" si="108"/>
        <v>124961.53999999998</v>
      </c>
      <c r="S305" s="252">
        <v>-28519</v>
      </c>
      <c r="T305" s="252">
        <f t="shared" si="109"/>
        <v>35545.880000000005</v>
      </c>
      <c r="U305" s="254">
        <f>STDEV(D$2:D305)*SQRT(252)</f>
        <v>0.17045897478056438</v>
      </c>
      <c r="V305" s="254">
        <f>STDEV(L$2:L305)*SQRT(252)</f>
        <v>0.36757496684562585</v>
      </c>
      <c r="W305" s="253">
        <f t="shared" si="107"/>
        <v>4.7792155572383921E-2</v>
      </c>
    </row>
    <row r="306" spans="1:23" ht="20.100000000000001" customHeight="1" x14ac:dyDescent="0.25">
      <c r="B306" s="173">
        <v>42702</v>
      </c>
      <c r="C306" s="217">
        <v>2201.7199999999998</v>
      </c>
      <c r="D306" s="172">
        <f t="shared" si="119"/>
        <v>-5.2544785054329905E-3</v>
      </c>
      <c r="E306" s="211">
        <f t="shared" si="114"/>
        <v>4.7221323795209255E-2</v>
      </c>
      <c r="F306" s="221">
        <v>5368.81</v>
      </c>
      <c r="G306" s="172">
        <f t="shared" si="118"/>
        <v>-5.5770413341927035E-3</v>
      </c>
      <c r="H306" s="205">
        <f t="shared" si="115"/>
        <v>5.4423866292201147E-2</v>
      </c>
      <c r="I306" s="223">
        <v>401105.48</v>
      </c>
      <c r="J306" s="174">
        <v>400000</v>
      </c>
      <c r="K306" s="174">
        <f t="shared" si="116"/>
        <v>-5921.4000000000233</v>
      </c>
      <c r="L306" s="172">
        <f t="shared" si="120"/>
        <v>-1.4547933541883089E-2</v>
      </c>
      <c r="M306" s="184">
        <f t="shared" si="106"/>
        <v>1105.4799999999814</v>
      </c>
      <c r="N306" s="186">
        <f t="shared" si="113"/>
        <v>2.7636999999999536E-3</v>
      </c>
      <c r="O306" s="184" t="b">
        <f t="shared" si="117"/>
        <v>0</v>
      </c>
      <c r="P306" s="186">
        <f>COUNTIF(O$2:O306, TRUE)/(COUNTIF(O$2:O306,FALSE) + COUNTIF(O$2:O306, TRUE))</f>
        <v>0.49508196721311476</v>
      </c>
      <c r="Q306" s="174">
        <v>286740.21999999997</v>
      </c>
      <c r="R306" s="174">
        <f t="shared" si="108"/>
        <v>114365.26000000001</v>
      </c>
      <c r="S306" s="174">
        <v>-27948</v>
      </c>
      <c r="T306" s="174">
        <f t="shared" si="109"/>
        <v>29053.479999999981</v>
      </c>
      <c r="U306" s="186">
        <f>STDEV(D$2:D306)*SQRT(252)</f>
        <v>0.17025062089045567</v>
      </c>
      <c r="V306" s="186">
        <f>STDEV(L$2:L306)*SQRT(252)</f>
        <v>0.36722797653623318</v>
      </c>
      <c r="W306" s="184">
        <f t="shared" ref="W306:W312" si="121">N306/V306</f>
        <v>7.5258427368952606E-3</v>
      </c>
    </row>
    <row r="307" spans="1:23" ht="20.100000000000001" customHeight="1" x14ac:dyDescent="0.25">
      <c r="B307" s="173">
        <v>42703</v>
      </c>
      <c r="C307" s="217">
        <v>2204.66</v>
      </c>
      <c r="D307" s="172">
        <f t="shared" ref="D307:D316" si="122">(C307-C306)/C306</f>
        <v>1.3353196591755787E-3</v>
      </c>
      <c r="E307" s="211">
        <f t="shared" si="114"/>
        <v>4.8619699016380871E-2</v>
      </c>
      <c r="F307" s="221">
        <v>5379.91</v>
      </c>
      <c r="G307" s="172">
        <f t="shared" ref="G307:G321" si="123">(F307-F306)/F306</f>
        <v>2.0674972666195031E-3</v>
      </c>
      <c r="H307" s="205">
        <f t="shared" si="115"/>
        <v>5.6603884753618647E-2</v>
      </c>
      <c r="I307" s="223">
        <v>393567.36</v>
      </c>
      <c r="J307" s="174">
        <v>400000</v>
      </c>
      <c r="K307" s="174">
        <f t="shared" si="116"/>
        <v>-7538.1199999999953</v>
      </c>
      <c r="L307" s="172">
        <f t="shared" ref="L307:L321" si="124">K307/I306</f>
        <v>-1.8793360788788016E-2</v>
      </c>
      <c r="M307" s="184">
        <f t="shared" si="106"/>
        <v>-6432.640000000014</v>
      </c>
      <c r="N307" s="186">
        <f t="shared" si="113"/>
        <v>-1.6081600000000036E-2</v>
      </c>
      <c r="O307" s="184" t="b">
        <f t="shared" si="117"/>
        <v>0</v>
      </c>
      <c r="P307" s="186">
        <f>COUNTIF(O$2:O307, TRUE)/(COUNTIF(O$2:O307,FALSE) + COUNTIF(O$2:O307, TRUE))</f>
        <v>0.49346405228758172</v>
      </c>
      <c r="Q307" s="174">
        <v>283628.3</v>
      </c>
      <c r="R307" s="174">
        <f t="shared" si="108"/>
        <v>109939.06</v>
      </c>
      <c r="S307" s="174">
        <v>-33267</v>
      </c>
      <c r="T307" s="174">
        <f t="shared" si="109"/>
        <v>26834.359999999986</v>
      </c>
      <c r="U307" s="186">
        <f>STDEV(D$2:D307)*SQRT(252)</f>
        <v>0.16997345622567742</v>
      </c>
      <c r="V307" s="186">
        <f>STDEV(L$2:L307)*SQRT(252)</f>
        <v>0.36704612962809202</v>
      </c>
      <c r="W307" s="184">
        <f t="shared" si="121"/>
        <v>-4.3813566475403652E-2</v>
      </c>
    </row>
    <row r="308" spans="1:23" ht="20.100000000000001" customHeight="1" x14ac:dyDescent="0.25">
      <c r="B308" s="173">
        <v>42704</v>
      </c>
      <c r="C308" s="217">
        <v>2198.81</v>
      </c>
      <c r="D308" s="172">
        <f t="shared" si="122"/>
        <v>-2.6534703763845262E-3</v>
      </c>
      <c r="E308" s="211">
        <f t="shared" si="114"/>
        <v>4.5837217708947643E-2</v>
      </c>
      <c r="F308" s="221">
        <v>5323.68</v>
      </c>
      <c r="G308" s="172">
        <f t="shared" si="123"/>
        <v>-1.0451847707489449E-2</v>
      </c>
      <c r="H308" s="205">
        <f t="shared" si="115"/>
        <v>4.5560421863032087E-2</v>
      </c>
      <c r="I308" s="483">
        <v>366163.6</v>
      </c>
      <c r="J308" s="174">
        <v>350000</v>
      </c>
      <c r="K308" s="174">
        <f t="shared" si="116"/>
        <v>22596.239999999991</v>
      </c>
      <c r="L308" s="172">
        <f t="shared" si="124"/>
        <v>5.7413907494767838E-2</v>
      </c>
      <c r="M308" s="483">
        <f t="shared" si="106"/>
        <v>16163.599999999977</v>
      </c>
      <c r="N308" s="186">
        <f t="shared" si="113"/>
        <v>4.6181714285714222E-2</v>
      </c>
      <c r="O308" s="184" t="b">
        <f t="shared" si="117"/>
        <v>1</v>
      </c>
      <c r="P308" s="186">
        <f>COUNTIF(O$2:O308, TRUE)/(COUNTIF(O$2:O308,FALSE) + COUNTIF(O$2:O308, TRUE))</f>
        <v>0.49511400651465798</v>
      </c>
      <c r="Q308" s="174">
        <v>248009.28</v>
      </c>
      <c r="R308" s="174">
        <f t="shared" si="108"/>
        <v>118154.31999999998</v>
      </c>
      <c r="S308" s="174">
        <v>-30474</v>
      </c>
      <c r="T308" s="174">
        <f t="shared" si="109"/>
        <v>46637.599999999977</v>
      </c>
      <c r="U308" s="186">
        <f>STDEV(D$2:D308)*SQRT(252)</f>
        <v>0.16971451435778193</v>
      </c>
      <c r="V308" s="186">
        <f>STDEV(L$2:L308)*SQRT(252)</f>
        <v>0.37006384127225039</v>
      </c>
      <c r="W308" s="184">
        <f t="shared" si="121"/>
        <v>0.12479391157737843</v>
      </c>
    </row>
    <row r="309" spans="1:23" ht="20.100000000000001" customHeight="1" x14ac:dyDescent="0.25">
      <c r="B309" s="173">
        <v>42705</v>
      </c>
      <c r="C309" s="217">
        <v>2191.08</v>
      </c>
      <c r="D309" s="172">
        <f t="shared" si="122"/>
        <v>-3.5155379500730025E-3</v>
      </c>
      <c r="E309" s="211">
        <f t="shared" si="114"/>
        <v>4.2160537280493078E-2</v>
      </c>
      <c r="F309" s="221">
        <v>5251.1</v>
      </c>
      <c r="G309" s="172">
        <f t="shared" si="123"/>
        <v>-1.3633426501968549E-2</v>
      </c>
      <c r="H309" s="205">
        <f t="shared" si="115"/>
        <v>3.1305850698195213E-2</v>
      </c>
      <c r="I309" s="223">
        <v>361692.5</v>
      </c>
      <c r="J309" s="174">
        <v>350000</v>
      </c>
      <c r="K309" s="174">
        <f t="shared" si="116"/>
        <v>-4471.0999999999767</v>
      </c>
      <c r="L309" s="172">
        <f t="shared" si="124"/>
        <v>-1.2210662119336758E-2</v>
      </c>
      <c r="M309" s="184">
        <f t="shared" si="106"/>
        <v>11692.5</v>
      </c>
      <c r="N309" s="186">
        <f t="shared" si="113"/>
        <v>3.3407142857142857E-2</v>
      </c>
      <c r="O309" s="184" t="b">
        <f t="shared" si="117"/>
        <v>0</v>
      </c>
      <c r="P309" s="186">
        <f>COUNTIF(O$2:O309, TRUE)/(COUNTIF(O$2:O309,FALSE) + COUNTIF(O$2:O309, TRUE))</f>
        <v>0.4935064935064935</v>
      </c>
      <c r="Q309" s="174">
        <v>254063.2</v>
      </c>
      <c r="R309" s="174">
        <f t="shared" si="108"/>
        <v>107629.29999999999</v>
      </c>
      <c r="S309" s="174">
        <v>-33426</v>
      </c>
      <c r="T309" s="174">
        <f t="shared" si="109"/>
        <v>45118.5</v>
      </c>
      <c r="U309" s="186">
        <f>STDEV(D$2:D309)*SQRT(252)</f>
        <v>0.16947047230211157</v>
      </c>
      <c r="V309" s="186">
        <f>STDEV(L$2:L309)*SQRT(252)</f>
        <v>0.36964383438211174</v>
      </c>
      <c r="W309" s="184">
        <f t="shared" si="121"/>
        <v>9.0376572662128882E-2</v>
      </c>
    </row>
    <row r="310" spans="1:23" ht="20.100000000000001" customHeight="1" x14ac:dyDescent="0.25">
      <c r="B310" s="173">
        <v>42706</v>
      </c>
      <c r="C310" s="217">
        <v>2191.9499999999998</v>
      </c>
      <c r="D310" s="172">
        <f t="shared" si="122"/>
        <v>3.9706446136147054E-4</v>
      </c>
      <c r="E310" s="211">
        <f t="shared" si="114"/>
        <v>4.2574342192880539E-2</v>
      </c>
      <c r="F310" s="221">
        <v>5255.65</v>
      </c>
      <c r="G310" s="172">
        <f t="shared" si="123"/>
        <v>8.664851174038339E-4</v>
      </c>
      <c r="H310" s="205">
        <f t="shared" si="115"/>
        <v>3.2199461869316694E-2</v>
      </c>
      <c r="I310" s="223">
        <v>313669.12</v>
      </c>
      <c r="J310" s="174">
        <v>300000</v>
      </c>
      <c r="K310" s="174">
        <f t="shared" si="116"/>
        <v>1976.6199999999953</v>
      </c>
      <c r="L310" s="172">
        <f t="shared" si="124"/>
        <v>5.4649184044457521E-3</v>
      </c>
      <c r="M310" s="184">
        <f t="shared" si="106"/>
        <v>13669.119999999995</v>
      </c>
      <c r="N310" s="186">
        <f t="shared" si="113"/>
        <v>4.5563733333333314E-2</v>
      </c>
      <c r="O310" s="184" t="b">
        <f t="shared" si="117"/>
        <v>1</v>
      </c>
      <c r="P310" s="186">
        <f>COUNTIF(O$2:O310, TRUE)/(COUNTIF(O$2:O310,FALSE) + COUNTIF(O$2:O310, TRUE))</f>
        <v>0.49514563106796117</v>
      </c>
      <c r="Q310" s="174">
        <v>254064.2</v>
      </c>
      <c r="R310" s="174">
        <f t="shared" si="108"/>
        <v>59604.919999999984</v>
      </c>
      <c r="S310" s="174">
        <v>-33097</v>
      </c>
      <c r="T310" s="174">
        <f t="shared" si="109"/>
        <v>46766.119999999995</v>
      </c>
      <c r="U310" s="186">
        <f>STDEV(D$2:D310)*SQRT(252)</f>
        <v>0.16919433911473156</v>
      </c>
      <c r="V310" s="186">
        <f>STDEV(L$2:L310)*SQRT(252)</f>
        <v>0.36906691391637653</v>
      </c>
      <c r="W310" s="184">
        <f t="shared" si="121"/>
        <v>0.12345656469129385</v>
      </c>
    </row>
    <row r="311" spans="1:23" ht="20.100000000000001" customHeight="1" x14ac:dyDescent="0.25">
      <c r="B311" s="246">
        <v>42709</v>
      </c>
      <c r="C311" s="247">
        <v>2204.71</v>
      </c>
      <c r="D311" s="172">
        <f t="shared" si="122"/>
        <v>5.821300668354761E-3</v>
      </c>
      <c r="E311" s="248">
        <f t="shared" si="114"/>
        <v>4.8643480907897482E-2</v>
      </c>
      <c r="F311" s="249">
        <v>5308.89</v>
      </c>
      <c r="G311" s="172">
        <f t="shared" si="123"/>
        <v>1.0130050517062722E-2</v>
      </c>
      <c r="H311" s="250">
        <f t="shared" si="115"/>
        <v>4.2655694561737831E-2</v>
      </c>
      <c r="I311" s="566">
        <v>315749.27</v>
      </c>
      <c r="J311" s="252">
        <v>300000</v>
      </c>
      <c r="K311" s="252">
        <f t="shared" si="116"/>
        <v>2080.1500000000233</v>
      </c>
      <c r="L311" s="172">
        <f t="shared" si="124"/>
        <v>6.6316697034123837E-3</v>
      </c>
      <c r="M311" s="253">
        <f t="shared" si="106"/>
        <v>15749.270000000019</v>
      </c>
      <c r="N311" s="254">
        <f t="shared" si="113"/>
        <v>5.2497566666666731E-2</v>
      </c>
      <c r="O311" s="253" t="b">
        <f t="shared" si="117"/>
        <v>1</v>
      </c>
      <c r="P311" s="254">
        <f>COUNTIF(O$2:O311, TRUE)/(COUNTIF(O$2:O311,FALSE) + COUNTIF(O$2:O311, TRUE))</f>
        <v>0.49677419354838709</v>
      </c>
      <c r="Q311" s="252">
        <v>256362.35</v>
      </c>
      <c r="R311" s="252">
        <f t="shared" si="108"/>
        <v>59386.920000000013</v>
      </c>
      <c r="S311" s="252">
        <v>-31763</v>
      </c>
      <c r="T311" s="252">
        <f t="shared" si="109"/>
        <v>47512.270000000019</v>
      </c>
      <c r="U311" s="254">
        <f>STDEV(D$2:D311)*SQRT(252)</f>
        <v>0.16899593279406544</v>
      </c>
      <c r="V311" s="254">
        <f>STDEV(L$2:L311)*SQRT(252)</f>
        <v>0.3685065540926854</v>
      </c>
      <c r="W311" s="253">
        <f t="shared" si="121"/>
        <v>0.14246033369996111</v>
      </c>
    </row>
    <row r="312" spans="1:23" ht="20.100000000000001" customHeight="1" x14ac:dyDescent="0.25">
      <c r="B312" s="246">
        <v>42710</v>
      </c>
      <c r="C312" s="247">
        <v>2212.23</v>
      </c>
      <c r="D312" s="172">
        <f t="shared" si="122"/>
        <v>3.4108794353905872E-3</v>
      </c>
      <c r="E312" s="248">
        <f t="shared" si="114"/>
        <v>5.2220277391982629E-2</v>
      </c>
      <c r="F312" s="249">
        <v>5333</v>
      </c>
      <c r="G312" s="172">
        <f t="shared" si="123"/>
        <v>4.5414389825367768E-3</v>
      </c>
      <c r="H312" s="250">
        <f t="shared" si="115"/>
        <v>4.7390851778384466E-2</v>
      </c>
      <c r="I312" s="566">
        <v>317812.25</v>
      </c>
      <c r="J312" s="252">
        <v>300000</v>
      </c>
      <c r="K312" s="252">
        <f t="shared" si="116"/>
        <v>2062.9799999999814</v>
      </c>
      <c r="L312" s="172">
        <f t="shared" si="124"/>
        <v>6.5336018037349102E-3</v>
      </c>
      <c r="M312" s="253">
        <f t="shared" ref="M312:M343" si="125">I312-J312</f>
        <v>17812.25</v>
      </c>
      <c r="N312" s="254">
        <f t="shared" si="113"/>
        <v>5.9374166666666665E-2</v>
      </c>
      <c r="O312" s="253" t="b">
        <f t="shared" si="117"/>
        <v>1</v>
      </c>
      <c r="P312" s="254">
        <f>COUNTIF(O$2:O312, TRUE)/(COUNTIF(O$2:O312,FALSE) + COUNTIF(O$2:O312, TRUE))</f>
        <v>0.49839228295819937</v>
      </c>
      <c r="Q312" s="252">
        <v>247476.7</v>
      </c>
      <c r="R312" s="252">
        <f t="shared" si="108"/>
        <v>70335.549999999988</v>
      </c>
      <c r="S312" s="252">
        <v>-30573</v>
      </c>
      <c r="T312" s="252">
        <f t="shared" si="109"/>
        <v>48385.25</v>
      </c>
      <c r="U312" s="254">
        <f>STDEV(D$2:D312)*SQRT(252)</f>
        <v>0.1687469337814691</v>
      </c>
      <c r="V312" s="254">
        <f>STDEV(L$2:L312)*SQRT(252)</f>
        <v>0.36794744748761488</v>
      </c>
      <c r="W312" s="253">
        <f t="shared" si="121"/>
        <v>0.16136588817799913</v>
      </c>
    </row>
    <row r="313" spans="1:23" ht="20.100000000000001" customHeight="1" x14ac:dyDescent="0.25">
      <c r="B313" s="246">
        <v>42711</v>
      </c>
      <c r="C313" s="247">
        <v>2241.35</v>
      </c>
      <c r="D313" s="172">
        <f t="shared" si="122"/>
        <v>1.316318827608336E-2</v>
      </c>
      <c r="E313" s="248">
        <f t="shared" si="114"/>
        <v>6.6070851011205953E-2</v>
      </c>
      <c r="F313" s="249">
        <v>5393.76</v>
      </c>
      <c r="G313" s="172">
        <f t="shared" si="123"/>
        <v>1.1393212075754776E-2</v>
      </c>
      <c r="H313" s="250">
        <f t="shared" si="115"/>
        <v>5.9323997878901039E-2</v>
      </c>
      <c r="I313" s="566">
        <v>321172.03999999998</v>
      </c>
      <c r="J313" s="252">
        <v>300000</v>
      </c>
      <c r="K313" s="252">
        <f t="shared" si="116"/>
        <v>3359.789999999979</v>
      </c>
      <c r="L313" s="172">
        <f t="shared" si="124"/>
        <v>1.0571618935393394E-2</v>
      </c>
      <c r="M313" s="253">
        <f t="shared" si="125"/>
        <v>21172.039999999979</v>
      </c>
      <c r="N313" s="254">
        <f t="shared" si="113"/>
        <v>7.0573466666666598E-2</v>
      </c>
      <c r="O313" s="253" t="b">
        <f t="shared" si="117"/>
        <v>0</v>
      </c>
      <c r="P313" s="254">
        <f>COUNTIF(O$2:O313, TRUE)/(COUNTIF(O$2:O313,FALSE) + COUNTIF(O$2:O313, TRUE))</f>
        <v>0.49679487179487181</v>
      </c>
      <c r="Q313" s="252">
        <v>220777.60000000001</v>
      </c>
      <c r="R313" s="252">
        <f t="shared" si="108"/>
        <v>100394.43999999997</v>
      </c>
      <c r="S313" s="252">
        <v>-30508</v>
      </c>
      <c r="T313" s="252">
        <f t="shared" si="109"/>
        <v>51680.039999999979</v>
      </c>
      <c r="U313" s="254">
        <f>STDEV(D$2:D313)*SQRT(252)</f>
        <v>0.16887690023643279</v>
      </c>
      <c r="V313" s="254">
        <f>STDEV(L$2:L313)*SQRT(252)</f>
        <v>0.36746067349044381</v>
      </c>
      <c r="W313" s="253">
        <f t="shared" ref="W313:W344" si="126">N313/V313</f>
        <v>0.19205719620633616</v>
      </c>
    </row>
    <row r="314" spans="1:23" ht="20.100000000000001" customHeight="1" x14ac:dyDescent="0.25">
      <c r="B314" s="246">
        <v>42712</v>
      </c>
      <c r="C314" s="247">
        <v>2246.19</v>
      </c>
      <c r="D314" s="172">
        <f t="shared" si="122"/>
        <v>2.1594128538604618E-3</v>
      </c>
      <c r="E314" s="248">
        <f t="shared" si="114"/>
        <v>6.8372938110005513E-2</v>
      </c>
      <c r="F314" s="249">
        <v>5417.35</v>
      </c>
      <c r="G314" s="172">
        <f t="shared" si="123"/>
        <v>4.3735724244312211E-3</v>
      </c>
      <c r="H314" s="250">
        <f t="shared" si="115"/>
        <v>6.3957028104562441E-2</v>
      </c>
      <c r="I314" s="566">
        <v>322327.21999999997</v>
      </c>
      <c r="J314" s="252">
        <v>300000</v>
      </c>
      <c r="K314" s="252">
        <f t="shared" si="116"/>
        <v>1155.179999999993</v>
      </c>
      <c r="L314" s="172">
        <f t="shared" si="124"/>
        <v>3.596763902611177E-3</v>
      </c>
      <c r="M314" s="253">
        <f t="shared" si="125"/>
        <v>22327.219999999972</v>
      </c>
      <c r="N314" s="254">
        <f t="shared" si="113"/>
        <v>7.442406666666658E-2</v>
      </c>
      <c r="O314" s="253" t="b">
        <f t="shared" si="117"/>
        <v>1</v>
      </c>
      <c r="P314" s="254">
        <f>COUNTIF(O$2:O314, TRUE)/(COUNTIF(O$2:O314,FALSE) + COUNTIF(O$2:O314, TRUE))</f>
        <v>0.49840255591054311</v>
      </c>
      <c r="Q314" s="252">
        <v>216214.39999999999</v>
      </c>
      <c r="R314" s="252">
        <f t="shared" si="108"/>
        <v>106112.81999999998</v>
      </c>
      <c r="S314" s="252">
        <v>-30163</v>
      </c>
      <c r="T314" s="252">
        <f t="shared" si="109"/>
        <v>52490.219999999972</v>
      </c>
      <c r="U314" s="254">
        <f>STDEV(D$2:D314)*SQRT(252)</f>
        <v>0.16861379822258454</v>
      </c>
      <c r="V314" s="254">
        <f>STDEV(L$2:L314)*SQRT(252)</f>
        <v>0.36687837723498989</v>
      </c>
      <c r="W314" s="253">
        <f t="shared" si="126"/>
        <v>0.20285759882490184</v>
      </c>
    </row>
    <row r="315" spans="1:23" ht="20.100000000000001" customHeight="1" x14ac:dyDescent="0.25">
      <c r="B315" s="246">
        <v>42713</v>
      </c>
      <c r="C315" s="247">
        <v>2259.5300000000002</v>
      </c>
      <c r="D315" s="172">
        <f t="shared" si="122"/>
        <v>5.9389455032744986E-3</v>
      </c>
      <c r="E315" s="248">
        <f t="shared" si="114"/>
        <v>7.4717946766614099E-2</v>
      </c>
      <c r="F315" s="249">
        <v>5444.49</v>
      </c>
      <c r="G315" s="172">
        <f t="shared" si="123"/>
        <v>5.0098295291977476E-3</v>
      </c>
      <c r="H315" s="250">
        <f t="shared" si="115"/>
        <v>6.9287271441758155E-2</v>
      </c>
      <c r="I315" s="566">
        <v>323626.28000000003</v>
      </c>
      <c r="J315" s="252">
        <v>300000</v>
      </c>
      <c r="K315" s="252">
        <f t="shared" si="116"/>
        <v>1299.0600000000559</v>
      </c>
      <c r="L315" s="172">
        <f t="shared" si="124"/>
        <v>4.0302522387034396E-3</v>
      </c>
      <c r="M315" s="253">
        <f t="shared" si="125"/>
        <v>23626.280000000028</v>
      </c>
      <c r="N315" s="254">
        <f t="shared" si="113"/>
        <v>7.8754266666666753E-2</v>
      </c>
      <c r="O315" s="253" t="b">
        <f t="shared" si="117"/>
        <v>0</v>
      </c>
      <c r="P315" s="254">
        <f>COUNTIF(O$2:O315, TRUE)/(COUNTIF(O$2:O315,FALSE) + COUNTIF(O$2:O315, TRUE))</f>
        <v>0.49681528662420382</v>
      </c>
      <c r="Q315" s="252">
        <v>204478.8</v>
      </c>
      <c r="R315" s="252">
        <f t="shared" si="108"/>
        <v>119147.48000000004</v>
      </c>
      <c r="S315" s="252">
        <v>-28680</v>
      </c>
      <c r="T315" s="252">
        <f t="shared" si="109"/>
        <v>52306.280000000028</v>
      </c>
      <c r="U315" s="254">
        <f>STDEV(D$2:D315)*SQRT(252)</f>
        <v>0.16842024942459102</v>
      </c>
      <c r="V315" s="254">
        <f>STDEV(L$2:L315)*SQRT(252)</f>
        <v>0.36630175469945664</v>
      </c>
      <c r="W315" s="253">
        <f t="shared" si="126"/>
        <v>0.21499833308547231</v>
      </c>
    </row>
    <row r="316" spans="1:23" ht="20.100000000000001" customHeight="1" x14ac:dyDescent="0.25">
      <c r="B316" s="173">
        <v>42716</v>
      </c>
      <c r="C316" s="217">
        <v>2256.96</v>
      </c>
      <c r="D316" s="172">
        <f t="shared" si="122"/>
        <v>-1.137404681504633E-3</v>
      </c>
      <c r="E316" s="211">
        <f t="shared" si="114"/>
        <v>7.3495557542664708E-2</v>
      </c>
      <c r="F316" s="221">
        <v>5412.54</v>
      </c>
      <c r="G316" s="172">
        <f t="shared" si="123"/>
        <v>-5.8683182446840421E-3</v>
      </c>
      <c r="H316" s="205">
        <f t="shared" si="115"/>
        <v>6.301235343794806E-2</v>
      </c>
      <c r="I316" s="223">
        <v>324351.42</v>
      </c>
      <c r="J316" s="174">
        <v>300000</v>
      </c>
      <c r="K316" s="174">
        <f t="shared" si="116"/>
        <v>725.13999999995576</v>
      </c>
      <c r="L316" s="172">
        <f t="shared" si="124"/>
        <v>2.2406709368595025E-3</v>
      </c>
      <c r="M316" s="184">
        <f t="shared" si="125"/>
        <v>24351.419999999984</v>
      </c>
      <c r="N316" s="186">
        <f t="shared" si="113"/>
        <v>8.1171399999999949E-2</v>
      </c>
      <c r="O316" s="184" t="b">
        <f t="shared" si="117"/>
        <v>1</v>
      </c>
      <c r="P316" s="186">
        <f>COUNTIF(O$2:O316, TRUE)/(COUNTIF(O$2:O316,FALSE) + COUNTIF(O$2:O316, TRUE))</f>
        <v>0.49841269841269842</v>
      </c>
      <c r="Q316" s="174">
        <v>230456.1</v>
      </c>
      <c r="R316" s="174">
        <f t="shared" si="108"/>
        <v>93895.319999999978</v>
      </c>
      <c r="S316" s="174">
        <v>-29165</v>
      </c>
      <c r="T316" s="174">
        <f t="shared" si="109"/>
        <v>53516.419999999984</v>
      </c>
      <c r="U316" s="186">
        <f>STDEV(D$2:D316)*SQRT(252)</f>
        <v>0.16815582865464937</v>
      </c>
      <c r="V316" s="186">
        <f>STDEV(L$2:L316)*SQRT(252)</f>
        <v>0.36571853063602927</v>
      </c>
      <c r="W316" s="184">
        <f t="shared" si="126"/>
        <v>0.22195047064974519</v>
      </c>
    </row>
    <row r="317" spans="1:23" ht="20.100000000000001" customHeight="1" x14ac:dyDescent="0.25">
      <c r="B317" s="173">
        <v>42717</v>
      </c>
      <c r="C317" s="217">
        <v>2271.7199999999998</v>
      </c>
      <c r="D317" s="172">
        <f t="shared" ref="D317:D324" si="127">(C317-C316)/C316</f>
        <v>6.539770310506063E-3</v>
      </c>
      <c r="E317" s="211">
        <f t="shared" si="114"/>
        <v>8.051597191834238E-2</v>
      </c>
      <c r="F317" s="221">
        <v>5463.82</v>
      </c>
      <c r="G317" s="172">
        <f t="shared" si="123"/>
        <v>9.47429487819023E-3</v>
      </c>
      <c r="H317" s="205">
        <f t="shared" si="115"/>
        <v>7.3083645933578162E-2</v>
      </c>
      <c r="I317" s="223">
        <v>326932.27</v>
      </c>
      <c r="J317" s="174">
        <v>300000</v>
      </c>
      <c r="K317" s="174">
        <f t="shared" si="116"/>
        <v>2580.8500000000349</v>
      </c>
      <c r="L317" s="172">
        <f t="shared" si="124"/>
        <v>7.9569560694386209E-3</v>
      </c>
      <c r="M317" s="184">
        <f t="shared" si="125"/>
        <v>26932.270000000019</v>
      </c>
      <c r="N317" s="186">
        <f t="shared" si="113"/>
        <v>8.9774233333333397E-2</v>
      </c>
      <c r="O317" s="184" t="b">
        <f t="shared" si="117"/>
        <v>1</v>
      </c>
      <c r="P317" s="186">
        <f>COUNTIF(O$2:O317, TRUE)/(COUNTIF(O$2:O317,FALSE) + COUNTIF(O$2:O317, TRUE))</f>
        <v>0.5</v>
      </c>
      <c r="Q317" s="174">
        <v>227241.15</v>
      </c>
      <c r="R317" s="174">
        <f t="shared" ref="R317:R325" si="128">I317-Q317</f>
        <v>99691.120000000024</v>
      </c>
      <c r="S317" s="174">
        <v>-28375</v>
      </c>
      <c r="T317" s="174">
        <f t="shared" ref="T317:T348" si="129">M317-S317</f>
        <v>55307.270000000019</v>
      </c>
      <c r="U317" s="186">
        <f>STDEV(D$2:D317)*SQRT(252)</f>
        <v>0.16798113436370918</v>
      </c>
      <c r="V317" s="186">
        <f>STDEV(L$2:L317)*SQRT(252)</f>
        <v>0.36519230283112208</v>
      </c>
      <c r="W317" s="184">
        <f t="shared" si="126"/>
        <v>0.24582728780800234</v>
      </c>
    </row>
    <row r="318" spans="1:23" ht="20.100000000000001" customHeight="1" x14ac:dyDescent="0.25">
      <c r="B318" s="173">
        <v>42718</v>
      </c>
      <c r="C318" s="217">
        <v>2253.2800000000002</v>
      </c>
      <c r="D318" s="172">
        <f t="shared" si="127"/>
        <v>-8.1171975419504164E-3</v>
      </c>
      <c r="E318" s="211">
        <f t="shared" si="114"/>
        <v>7.1745210327048642E-2</v>
      </c>
      <c r="F318" s="221">
        <v>5436.67</v>
      </c>
      <c r="G318" s="172">
        <f t="shared" si="123"/>
        <v>-4.9690509570226764E-3</v>
      </c>
      <c r="H318" s="205">
        <f t="shared" si="115"/>
        <v>6.775143861578653E-2</v>
      </c>
      <c r="I318" s="223">
        <v>323187.58</v>
      </c>
      <c r="J318" s="174">
        <v>300000</v>
      </c>
      <c r="K318" s="174">
        <f t="shared" si="116"/>
        <v>-3744.6900000000023</v>
      </c>
      <c r="L318" s="172">
        <f t="shared" si="124"/>
        <v>-1.1454023795203827E-2</v>
      </c>
      <c r="M318" s="184">
        <f t="shared" si="125"/>
        <v>23187.580000000016</v>
      </c>
      <c r="N318" s="186">
        <f t="shared" ref="N318:N349" si="130">M318/J318</f>
        <v>7.7291933333333382E-2</v>
      </c>
      <c r="O318" s="184" t="b">
        <f t="shared" si="117"/>
        <v>0</v>
      </c>
      <c r="P318" s="186">
        <f>COUNTIF(O$2:O318, TRUE)/(COUNTIF(O$2:O318,FALSE) + COUNTIF(O$2:O318, TRUE))</f>
        <v>0.49842271293375395</v>
      </c>
      <c r="Q318" s="174">
        <v>227414.39999999999</v>
      </c>
      <c r="R318" s="174">
        <f t="shared" si="128"/>
        <v>95773.180000000022</v>
      </c>
      <c r="S318" s="174">
        <v>-28896</v>
      </c>
      <c r="T318" s="174">
        <f t="shared" si="129"/>
        <v>52083.580000000016</v>
      </c>
      <c r="U318" s="186">
        <f>STDEV(D$2:D318)*SQRT(252)</f>
        <v>0.1678827042507858</v>
      </c>
      <c r="V318" s="186">
        <f>STDEV(L$2:L318)*SQRT(252)</f>
        <v>0.36477613743457138</v>
      </c>
      <c r="W318" s="184">
        <f t="shared" si="126"/>
        <v>0.21188867746919701</v>
      </c>
    </row>
    <row r="319" spans="1:23" ht="20.100000000000001" customHeight="1" x14ac:dyDescent="0.25">
      <c r="B319" s="173">
        <v>42719</v>
      </c>
      <c r="C319" s="217">
        <v>2262.0300000000002</v>
      </c>
      <c r="D319" s="172">
        <f t="shared" si="127"/>
        <v>3.8832280053965771E-3</v>
      </c>
      <c r="E319" s="211">
        <f t="shared" si="114"/>
        <v>7.5907041342440279E-2</v>
      </c>
      <c r="F319" s="221">
        <v>5456.85</v>
      </c>
      <c r="G319" s="172">
        <f t="shared" si="123"/>
        <v>3.7118309553458811E-3</v>
      </c>
      <c r="H319" s="205">
        <f t="shared" si="115"/>
        <v>7.1714751458255704E-2</v>
      </c>
      <c r="I319" s="223">
        <v>324820.98</v>
      </c>
      <c r="J319" s="174">
        <v>300000</v>
      </c>
      <c r="K319" s="174">
        <f t="shared" si="116"/>
        <v>1633.3999999999651</v>
      </c>
      <c r="L319" s="172">
        <f t="shared" si="124"/>
        <v>5.0540308510616805E-3</v>
      </c>
      <c r="M319" s="184">
        <f t="shared" si="125"/>
        <v>24820.979999999981</v>
      </c>
      <c r="N319" s="186">
        <f t="shared" si="130"/>
        <v>8.2736599999999938E-2</v>
      </c>
      <c r="O319" s="184" t="b">
        <f t="shared" si="117"/>
        <v>1</v>
      </c>
      <c r="P319" s="186">
        <f>COUNTIF(O$2:O319, TRUE)/(COUNTIF(O$2:O319,FALSE) + COUNTIF(O$2:O319, TRUE))</f>
        <v>0.5</v>
      </c>
      <c r="Q319" s="174">
        <v>232165.8</v>
      </c>
      <c r="R319" s="174">
        <f t="shared" si="128"/>
        <v>92655.18</v>
      </c>
      <c r="S319" s="174">
        <v>-28562</v>
      </c>
      <c r="T319" s="174">
        <f t="shared" si="129"/>
        <v>53382.979999999981</v>
      </c>
      <c r="U319" s="186">
        <f>STDEV(D$2:D319)*SQRT(252)</f>
        <v>0.16764772855773447</v>
      </c>
      <c r="V319" s="186">
        <f>STDEV(L$2:L319)*SQRT(252)</f>
        <v>0.36421868785433931</v>
      </c>
      <c r="W319" s="184">
        <f t="shared" si="126"/>
        <v>0.22716187488185255</v>
      </c>
    </row>
    <row r="320" spans="1:23" ht="20.100000000000001" customHeight="1" x14ac:dyDescent="0.25">
      <c r="B320" s="173">
        <v>42720</v>
      </c>
      <c r="C320" s="217">
        <v>2258.0700000000002</v>
      </c>
      <c r="D320" s="172">
        <f t="shared" si="127"/>
        <v>-1.7506399119375233E-3</v>
      </c>
      <c r="E320" s="211">
        <f t="shared" ref="E320:E351" si="131">(C320-$C$2)/$C$2</f>
        <v>7.4023515534331591E-2</v>
      </c>
      <c r="F320" s="221">
        <v>5437.16</v>
      </c>
      <c r="G320" s="172">
        <f t="shared" si="123"/>
        <v>-3.6083088228557698E-3</v>
      </c>
      <c r="H320" s="205">
        <f t="shared" ref="H320:H351" si="132">(F320-F$2)/F$2</f>
        <v>6.7847673664984204E-2</v>
      </c>
      <c r="I320" s="223">
        <v>327045.52</v>
      </c>
      <c r="J320" s="174">
        <v>300000</v>
      </c>
      <c r="K320" s="174">
        <f t="shared" ref="K320:K351" si="133">I320-I319-J320+J319</f>
        <v>2224.5400000000373</v>
      </c>
      <c r="L320" s="172">
        <f t="shared" si="124"/>
        <v>6.8485108320282678E-3</v>
      </c>
      <c r="M320" s="184">
        <f t="shared" si="125"/>
        <v>27045.520000000019</v>
      </c>
      <c r="N320" s="186">
        <f t="shared" si="130"/>
        <v>9.01517333333334E-2</v>
      </c>
      <c r="O320" s="184" t="b">
        <f t="shared" ref="O320:O351" si="134">L320&gt;D320</f>
        <v>1</v>
      </c>
      <c r="P320" s="186">
        <f>COUNTIF(O$2:O320, TRUE)/(COUNTIF(O$2:O320,FALSE) + COUNTIF(O$2:O320, TRUE))</f>
        <v>0.50156739811912221</v>
      </c>
      <c r="Q320" s="174">
        <v>231412.84</v>
      </c>
      <c r="R320" s="174">
        <f t="shared" si="128"/>
        <v>95632.680000000022</v>
      </c>
      <c r="S320" s="174">
        <v>-28561</v>
      </c>
      <c r="T320" s="174">
        <f t="shared" si="129"/>
        <v>55606.520000000019</v>
      </c>
      <c r="U320" s="186">
        <f>STDEV(D$2:D320)*SQRT(252)</f>
        <v>0.16739291241779608</v>
      </c>
      <c r="V320" s="186">
        <f>STDEV(L$2:L320)*SQRT(252)</f>
        <v>0.36368405399671344</v>
      </c>
      <c r="W320" s="184">
        <f t="shared" si="126"/>
        <v>0.24788475695485976</v>
      </c>
    </row>
    <row r="321" spans="2:23" ht="20.100000000000001" customHeight="1" x14ac:dyDescent="0.25">
      <c r="B321" s="246">
        <v>42723</v>
      </c>
      <c r="C321" s="247">
        <v>2262.5300000000002</v>
      </c>
      <c r="D321" s="172">
        <f t="shared" si="127"/>
        <v>1.9751380603790121E-3</v>
      </c>
      <c r="E321" s="248">
        <f t="shared" si="131"/>
        <v>7.6144860257605515E-2</v>
      </c>
      <c r="F321" s="249">
        <v>5457.44</v>
      </c>
      <c r="G321" s="172">
        <f t="shared" si="123"/>
        <v>3.7298883976192988E-3</v>
      </c>
      <c r="H321" s="250">
        <f t="shared" si="132"/>
        <v>7.1830626313411985E-2</v>
      </c>
      <c r="I321" s="566">
        <v>327054.27</v>
      </c>
      <c r="J321" s="252">
        <v>300000</v>
      </c>
      <c r="K321" s="252">
        <f t="shared" si="133"/>
        <v>8.75</v>
      </c>
      <c r="L321" s="172">
        <f t="shared" si="124"/>
        <v>2.6754685402814872E-5</v>
      </c>
      <c r="M321" s="253">
        <f t="shared" si="125"/>
        <v>27054.270000000019</v>
      </c>
      <c r="N321" s="254">
        <f t="shared" si="130"/>
        <v>9.0180900000000064E-2</v>
      </c>
      <c r="O321" s="253" t="b">
        <f t="shared" si="134"/>
        <v>0</v>
      </c>
      <c r="P321" s="254">
        <f>COUNTIF(O$2:O321, TRUE)/(COUNTIF(O$2:O321,FALSE) + COUNTIF(O$2:O321, TRUE))</f>
        <v>0.5</v>
      </c>
      <c r="Q321" s="252">
        <v>231413.84</v>
      </c>
      <c r="R321" s="252">
        <f t="shared" si="128"/>
        <v>95640.430000000022</v>
      </c>
      <c r="S321" s="252">
        <v>-28148</v>
      </c>
      <c r="T321" s="252">
        <f t="shared" si="129"/>
        <v>55202.270000000019</v>
      </c>
      <c r="U321" s="254">
        <f>STDEV(D$2:D321)*SQRT(252)</f>
        <v>0.16713630063292181</v>
      </c>
      <c r="V321" s="254">
        <f>STDEV(L$2:L321)*SQRT(252)</f>
        <v>0.36311240060215538</v>
      </c>
      <c r="W321" s="253">
        <f t="shared" si="126"/>
        <v>0.24835532978342675</v>
      </c>
    </row>
    <row r="322" spans="2:23" ht="20.100000000000001" customHeight="1" x14ac:dyDescent="0.25">
      <c r="B322" s="246">
        <v>42724</v>
      </c>
      <c r="C322" s="247">
        <v>2270.7600000000002</v>
      </c>
      <c r="D322" s="172">
        <f t="shared" si="127"/>
        <v>3.6375208284531112E-3</v>
      </c>
      <c r="E322" s="248">
        <f t="shared" si="131"/>
        <v>8.0059359601225316E-2</v>
      </c>
      <c r="F322" s="249">
        <v>5483.94</v>
      </c>
      <c r="G322" s="172">
        <f>(F322-F321)/F321</f>
        <v>4.8557565451933507E-3</v>
      </c>
      <c r="H322" s="250">
        <f t="shared" si="132"/>
        <v>7.7035174892472025E-2</v>
      </c>
      <c r="I322" s="566">
        <v>325810.98</v>
      </c>
      <c r="J322" s="252">
        <v>300000</v>
      </c>
      <c r="K322" s="252">
        <f t="shared" si="133"/>
        <v>-1243.2900000000373</v>
      </c>
      <c r="L322" s="172">
        <f>K322/I321</f>
        <v>-3.8014791857022296E-3</v>
      </c>
      <c r="M322" s="253">
        <f t="shared" si="125"/>
        <v>25810.979999999981</v>
      </c>
      <c r="N322" s="254">
        <f t="shared" si="130"/>
        <v>8.6036599999999935E-2</v>
      </c>
      <c r="O322" s="253" t="b">
        <f t="shared" si="134"/>
        <v>0</v>
      </c>
      <c r="P322" s="254">
        <f>COUNTIF(O$2:O322, TRUE)/(COUNTIF(O$2:O322,FALSE) + COUNTIF(O$2:O322, TRUE))</f>
        <v>0.49844236760124611</v>
      </c>
      <c r="Q322" s="252">
        <v>230633.3</v>
      </c>
      <c r="R322" s="252">
        <f t="shared" si="128"/>
        <v>95177.68</v>
      </c>
      <c r="S322" s="252">
        <v>-28828</v>
      </c>
      <c r="T322" s="252">
        <f t="shared" si="129"/>
        <v>54638.979999999981</v>
      </c>
      <c r="U322" s="254">
        <f>STDEV(D$2:D322)*SQRT(252)</f>
        <v>0.16690064073830019</v>
      </c>
      <c r="V322" s="254">
        <f>STDEV(L$2:L322)*SQRT(252)</f>
        <v>0.36256564475592484</v>
      </c>
      <c r="W322" s="253">
        <f t="shared" si="126"/>
        <v>0.23729937252581892</v>
      </c>
    </row>
    <row r="323" spans="2:23" ht="20.100000000000001" customHeight="1" x14ac:dyDescent="0.25">
      <c r="B323" s="246">
        <v>42725</v>
      </c>
      <c r="C323" s="247">
        <v>2265.1799999999998</v>
      </c>
      <c r="D323" s="172">
        <f t="shared" si="127"/>
        <v>-2.4573270623052994E-3</v>
      </c>
      <c r="E323" s="248">
        <f t="shared" si="131"/>
        <v>7.7405300507981098E-2</v>
      </c>
      <c r="F323" s="249">
        <v>5471.43</v>
      </c>
      <c r="G323" s="172">
        <f>(F323-F322)/F322</f>
        <v>-2.2812065777523659E-3</v>
      </c>
      <c r="H323" s="250">
        <f t="shared" si="132"/>
        <v>7.4578235167036641E-2</v>
      </c>
      <c r="I323" s="566">
        <v>324443.28000000003</v>
      </c>
      <c r="J323" s="252">
        <v>300000</v>
      </c>
      <c r="K323" s="252">
        <f t="shared" si="133"/>
        <v>-1367.6999999999534</v>
      </c>
      <c r="L323" s="172">
        <f t="shared" ref="L323:L386" si="135">K323/I322</f>
        <v>-4.1978327433899055E-3</v>
      </c>
      <c r="M323" s="253">
        <f t="shared" si="125"/>
        <v>24443.280000000028</v>
      </c>
      <c r="N323" s="254">
        <f t="shared" si="130"/>
        <v>8.1477600000000094E-2</v>
      </c>
      <c r="O323" s="253" t="b">
        <f t="shared" si="134"/>
        <v>0</v>
      </c>
      <c r="P323" s="254">
        <f>COUNTIF(O$2:O323, TRUE)/(COUNTIF(O$2:O323,FALSE) + COUNTIF(O$2:O323, TRUE))</f>
        <v>0.49689440993788819</v>
      </c>
      <c r="Q323" s="252">
        <v>231596.6</v>
      </c>
      <c r="R323" s="252">
        <f t="shared" si="128"/>
        <v>92846.680000000022</v>
      </c>
      <c r="S323" s="252">
        <v>-28725</v>
      </c>
      <c r="T323" s="252">
        <f t="shared" si="129"/>
        <v>53168.280000000028</v>
      </c>
      <c r="U323" s="254">
        <f>STDEV(D$2:D323)*SQRT(252)</f>
        <v>0.16665750598477963</v>
      </c>
      <c r="V323" s="254">
        <f>STDEV(L$2:L323)*SQRT(252)</f>
        <v>0.36202544499478717</v>
      </c>
      <c r="W323" s="253">
        <f t="shared" si="126"/>
        <v>0.22506042358755554</v>
      </c>
    </row>
    <row r="324" spans="2:23" ht="20.100000000000001" customHeight="1" x14ac:dyDescent="0.25">
      <c r="B324" s="246">
        <v>42726</v>
      </c>
      <c r="C324" s="247">
        <v>2260.96</v>
      </c>
      <c r="D324" s="172">
        <f t="shared" si="127"/>
        <v>-1.8629866059208541E-3</v>
      </c>
      <c r="E324" s="248">
        <f t="shared" si="131"/>
        <v>7.5398108863986596E-2</v>
      </c>
      <c r="F324" s="249">
        <v>5447.42</v>
      </c>
      <c r="G324" s="172">
        <f t="shared" ref="G324:G334" si="136">(F324-F323)/F323</f>
        <v>-4.3882495069845024E-3</v>
      </c>
      <c r="H324" s="250">
        <f t="shared" si="132"/>
        <v>6.9862717756348613E-2</v>
      </c>
      <c r="I324" s="566">
        <v>328249.78000000003</v>
      </c>
      <c r="J324" s="252">
        <v>300000</v>
      </c>
      <c r="K324" s="252">
        <f t="shared" si="133"/>
        <v>3806.5</v>
      </c>
      <c r="L324" s="172">
        <f t="shared" si="135"/>
        <v>1.1732405121782764E-2</v>
      </c>
      <c r="M324" s="253">
        <f t="shared" si="125"/>
        <v>28249.780000000028</v>
      </c>
      <c r="N324" s="254">
        <f t="shared" si="130"/>
        <v>9.4165933333333424E-2</v>
      </c>
      <c r="O324" s="253" t="b">
        <f t="shared" si="134"/>
        <v>1</v>
      </c>
      <c r="P324" s="254">
        <f>COUNTIF(O$2:O324, TRUE)/(COUNTIF(O$2:O324,FALSE) + COUNTIF(O$2:O324, TRUE))</f>
        <v>0.49845201238390091</v>
      </c>
      <c r="Q324" s="252">
        <v>235403.1</v>
      </c>
      <c r="R324" s="252">
        <f t="shared" si="128"/>
        <v>92846.680000000022</v>
      </c>
      <c r="S324" s="252">
        <v>-28852</v>
      </c>
      <c r="T324" s="252">
        <f t="shared" si="129"/>
        <v>57101.780000000028</v>
      </c>
      <c r="U324" s="254">
        <f>STDEV(D$2:D324)*SQRT(252)</f>
        <v>0.16640858320872839</v>
      </c>
      <c r="V324" s="254">
        <f>STDEV(L$2:L324)*SQRT(252)</f>
        <v>0.36159155840983148</v>
      </c>
      <c r="W324" s="253">
        <f t="shared" si="126"/>
        <v>0.2604207181922229</v>
      </c>
    </row>
    <row r="325" spans="2:23" ht="20.100000000000001" customHeight="1" x14ac:dyDescent="0.25">
      <c r="B325" s="246">
        <v>42727</v>
      </c>
      <c r="C325" s="247">
        <v>2263.79</v>
      </c>
      <c r="D325" s="172">
        <f t="shared" ref="D325:D334" si="137">(C325-C324)/C324</f>
        <v>1.251680702002657E-3</v>
      </c>
      <c r="E325" s="248">
        <f t="shared" si="131"/>
        <v>7.6744163923821801E-2</v>
      </c>
      <c r="F325" s="249">
        <v>5462.68</v>
      </c>
      <c r="G325" s="172">
        <f t="shared" si="136"/>
        <v>2.8013261323709604E-3</v>
      </c>
      <c r="H325" s="250">
        <f t="shared" si="132"/>
        <v>7.2859752145648896E-2</v>
      </c>
      <c r="I325" s="566">
        <v>329298.48</v>
      </c>
      <c r="J325" s="252">
        <v>300000</v>
      </c>
      <c r="K325" s="252">
        <f t="shared" si="133"/>
        <v>1048.6999999999534</v>
      </c>
      <c r="L325" s="172">
        <f t="shared" si="135"/>
        <v>3.1948231618006062E-3</v>
      </c>
      <c r="M325" s="253">
        <f t="shared" si="125"/>
        <v>29298.479999999981</v>
      </c>
      <c r="N325" s="254">
        <f t="shared" si="130"/>
        <v>9.7661599999999932E-2</v>
      </c>
      <c r="O325" s="253" t="b">
        <f t="shared" si="134"/>
        <v>1</v>
      </c>
      <c r="P325" s="254">
        <f>COUNTIF(O$2:O325, TRUE)/(COUNTIF(O$2:O325,FALSE) + COUNTIF(O$2:O325, TRUE))</f>
        <v>0.5</v>
      </c>
      <c r="Q325" s="252">
        <v>236451.8</v>
      </c>
      <c r="R325" s="252">
        <f t="shared" si="128"/>
        <v>92846.68</v>
      </c>
      <c r="S325" s="252">
        <v>-28456</v>
      </c>
      <c r="T325" s="252">
        <f t="shared" si="129"/>
        <v>57754.479999999981</v>
      </c>
      <c r="U325" s="254">
        <f>STDEV(D$2:D325)*SQRT(252)</f>
        <v>0.16615219867312236</v>
      </c>
      <c r="V325" s="254">
        <f>STDEV(L$2:L325)*SQRT(252)</f>
        <v>0.36103590347828884</v>
      </c>
      <c r="W325" s="253">
        <f t="shared" si="126"/>
        <v>0.27050384479523898</v>
      </c>
    </row>
    <row r="326" spans="2:23" ht="20.100000000000001" customHeight="1" x14ac:dyDescent="0.25">
      <c r="B326" s="173">
        <v>42731</v>
      </c>
      <c r="C326" s="217">
        <v>2268.88</v>
      </c>
      <c r="D326" s="172">
        <f t="shared" si="137"/>
        <v>2.2484417724259521E-3</v>
      </c>
      <c r="E326" s="211">
        <f t="shared" si="131"/>
        <v>7.9165160480203972E-2</v>
      </c>
      <c r="F326" s="221">
        <v>5487.44</v>
      </c>
      <c r="G326" s="172">
        <f t="shared" si="136"/>
        <v>4.5325737550065736E-3</v>
      </c>
      <c r="H326" s="205">
        <f t="shared" si="132"/>
        <v>7.7722568101027123E-2</v>
      </c>
      <c r="I326" s="223">
        <v>330109.08</v>
      </c>
      <c r="J326" s="174">
        <v>300000</v>
      </c>
      <c r="K326" s="174">
        <f t="shared" si="133"/>
        <v>810.60000000003492</v>
      </c>
      <c r="L326" s="172">
        <f t="shared" si="135"/>
        <v>2.4615965430512614E-3</v>
      </c>
      <c r="M326" s="184">
        <f t="shared" si="125"/>
        <v>30109.080000000016</v>
      </c>
      <c r="N326" s="186">
        <f t="shared" si="130"/>
        <v>0.10036360000000005</v>
      </c>
      <c r="O326" s="184" t="b">
        <f t="shared" si="134"/>
        <v>1</v>
      </c>
      <c r="P326" s="186">
        <f>COUNTIF(O$2:O326, TRUE)/(COUNTIF(O$2:O326,FALSE) + COUNTIF(O$2:O326, TRUE))</f>
        <v>0.50153846153846149</v>
      </c>
      <c r="Q326" s="174">
        <v>237262.4</v>
      </c>
      <c r="R326" s="174">
        <f t="shared" ref="R326:R331" si="138">I326-Q326</f>
        <v>92846.680000000022</v>
      </c>
      <c r="S326" s="174">
        <v>-28216</v>
      </c>
      <c r="T326" s="174">
        <f t="shared" si="129"/>
        <v>58325.080000000016</v>
      </c>
      <c r="U326" s="186">
        <f>STDEV(D$2:D326)*SQRT(252)</f>
        <v>0.16590384909473915</v>
      </c>
      <c r="V326" s="186">
        <f>STDEV(L$2:L326)*SQRT(252)</f>
        <v>0.36047958608732461</v>
      </c>
      <c r="W326" s="184">
        <f t="shared" si="126"/>
        <v>0.27841687538913068</v>
      </c>
    </row>
    <row r="327" spans="2:23" ht="20.100000000000001" customHeight="1" x14ac:dyDescent="0.25">
      <c r="B327" s="173">
        <v>42732</v>
      </c>
      <c r="C327" s="217">
        <v>2249.92</v>
      </c>
      <c r="D327" s="172">
        <f t="shared" si="137"/>
        <v>-8.3565459610028016E-3</v>
      </c>
      <c r="E327" s="211">
        <f t="shared" si="131"/>
        <v>7.014706721713819E-2</v>
      </c>
      <c r="F327" s="221">
        <v>5438.55</v>
      </c>
      <c r="G327" s="172">
        <f t="shared" si="136"/>
        <v>-8.9094368229993264E-3</v>
      </c>
      <c r="H327" s="205">
        <f t="shared" si="132"/>
        <v>6.8120666967810425E-2</v>
      </c>
      <c r="I327" s="223">
        <v>326202.98</v>
      </c>
      <c r="J327" s="174">
        <v>300000</v>
      </c>
      <c r="K327" s="174">
        <f t="shared" si="133"/>
        <v>-3906.1000000000349</v>
      </c>
      <c r="L327" s="172">
        <f t="shared" si="135"/>
        <v>-1.1832755403153511E-2</v>
      </c>
      <c r="M327" s="184">
        <f t="shared" si="125"/>
        <v>26202.979999999981</v>
      </c>
      <c r="N327" s="186">
        <f t="shared" si="130"/>
        <v>8.73432666666666E-2</v>
      </c>
      <c r="O327" s="184" t="b">
        <f t="shared" si="134"/>
        <v>0</v>
      </c>
      <c r="P327" s="186">
        <f>COUNTIF(O$2:O327, TRUE)/(COUNTIF(O$2:O327,FALSE) + COUNTIF(O$2:O327, TRUE))</f>
        <v>0.5</v>
      </c>
      <c r="Q327" s="174">
        <v>235463.51</v>
      </c>
      <c r="R327" s="174">
        <f t="shared" si="138"/>
        <v>90739.469999999972</v>
      </c>
      <c r="S327" s="174">
        <v>-29179</v>
      </c>
      <c r="T327" s="174">
        <f t="shared" si="129"/>
        <v>55381.979999999981</v>
      </c>
      <c r="U327" s="186">
        <f>STDEV(D$2:D327)*SQRT(252)</f>
        <v>0.16582249339031452</v>
      </c>
      <c r="V327" s="186">
        <f>STDEV(L$2:L327)*SQRT(252)</f>
        <v>0.36009473393131058</v>
      </c>
      <c r="W327" s="184">
        <f t="shared" si="126"/>
        <v>0.24255635652624583</v>
      </c>
    </row>
    <row r="328" spans="2:23" ht="20.100000000000001" customHeight="1" x14ac:dyDescent="0.25">
      <c r="B328" s="173">
        <v>42733</v>
      </c>
      <c r="C328" s="217">
        <v>2249.2600000000002</v>
      </c>
      <c r="D328" s="172">
        <f t="shared" si="137"/>
        <v>-2.9334376333374273E-4</v>
      </c>
      <c r="E328" s="211">
        <f t="shared" si="131"/>
        <v>6.983314624912014E-2</v>
      </c>
      <c r="F328" s="221">
        <v>5432.09</v>
      </c>
      <c r="G328" s="172">
        <f t="shared" si="136"/>
        <v>-1.1878166055290539E-3</v>
      </c>
      <c r="H328" s="205">
        <f t="shared" si="132"/>
        <v>6.6851935502877297E-2</v>
      </c>
      <c r="I328" s="223">
        <v>324645.53000000003</v>
      </c>
      <c r="J328" s="174">
        <v>300000</v>
      </c>
      <c r="K328" s="174">
        <f t="shared" si="133"/>
        <v>-1557.4499999999534</v>
      </c>
      <c r="L328" s="172">
        <f t="shared" si="135"/>
        <v>-4.774481214119974E-3</v>
      </c>
      <c r="M328" s="184">
        <f t="shared" si="125"/>
        <v>24645.530000000028</v>
      </c>
      <c r="N328" s="186">
        <f t="shared" si="130"/>
        <v>8.2151766666666765E-2</v>
      </c>
      <c r="O328" s="184" t="b">
        <f t="shared" si="134"/>
        <v>0</v>
      </c>
      <c r="P328" s="186">
        <f>COUNTIF(O$2:O328, TRUE)/(COUNTIF(O$2:O328,FALSE) + COUNTIF(O$2:O328, TRUE))</f>
        <v>0.49847094801223241</v>
      </c>
      <c r="Q328" s="174">
        <v>245575.8</v>
      </c>
      <c r="R328" s="174">
        <f t="shared" si="138"/>
        <v>79069.73000000004</v>
      </c>
      <c r="S328" s="174">
        <v>-28777</v>
      </c>
      <c r="T328" s="174">
        <f t="shared" si="129"/>
        <v>53422.530000000028</v>
      </c>
      <c r="U328" s="186">
        <f>STDEV(D$2:D328)*SQRT(252)</f>
        <v>0.16556790757023543</v>
      </c>
      <c r="V328" s="186">
        <f>STDEV(L$2:L328)*SQRT(252)</f>
        <v>0.35957326133174794</v>
      </c>
      <c r="W328" s="184">
        <f t="shared" si="126"/>
        <v>0.22847017701594963</v>
      </c>
    </row>
    <row r="329" spans="2:23" ht="20.100000000000001" customHeight="1" x14ac:dyDescent="0.25">
      <c r="B329" s="173">
        <v>42734</v>
      </c>
      <c r="C329" s="217">
        <v>2238.83</v>
      </c>
      <c r="D329" s="172">
        <f t="shared" si="137"/>
        <v>-4.6370806398550145E-3</v>
      </c>
      <c r="E329" s="211">
        <f t="shared" si="131"/>
        <v>6.4872243678773173E-2</v>
      </c>
      <c r="F329" s="221">
        <v>5383.11</v>
      </c>
      <c r="G329" s="172">
        <f t="shared" si="136"/>
        <v>-9.0167872770886472E-3</v>
      </c>
      <c r="H329" s="205">
        <f t="shared" si="132"/>
        <v>5.7232358544297555E-2</v>
      </c>
      <c r="I329" s="483">
        <v>322309.38</v>
      </c>
      <c r="J329" s="174">
        <v>300000</v>
      </c>
      <c r="K329" s="174">
        <f t="shared" si="133"/>
        <v>-2336.1500000000233</v>
      </c>
      <c r="L329" s="172">
        <f t="shared" si="135"/>
        <v>-7.1960023598662305E-3</v>
      </c>
      <c r="M329" s="483">
        <f t="shared" si="125"/>
        <v>22309.380000000005</v>
      </c>
      <c r="N329" s="186">
        <f t="shared" si="130"/>
        <v>7.4364600000000017E-2</v>
      </c>
      <c r="O329" s="184" t="b">
        <f t="shared" si="134"/>
        <v>0</v>
      </c>
      <c r="P329" s="186">
        <f>COUNTIF(O$2:O329, TRUE)/(COUNTIF(O$2:O329,FALSE) + COUNTIF(O$2:O329, TRUE))</f>
        <v>0.49695121951219512</v>
      </c>
      <c r="Q329" s="174">
        <v>244515.65</v>
      </c>
      <c r="R329" s="174">
        <f t="shared" si="138"/>
        <v>77793.73000000001</v>
      </c>
      <c r="S329" s="174">
        <v>-29211</v>
      </c>
      <c r="T329" s="174">
        <f t="shared" si="129"/>
        <v>51520.380000000005</v>
      </c>
      <c r="U329" s="186">
        <f>STDEV(D$2:D329)*SQRT(252)</f>
        <v>0.16536968849667288</v>
      </c>
      <c r="V329" s="186">
        <f>STDEV(L$2:L329)*SQRT(252)</f>
        <v>0.35908901250550984</v>
      </c>
      <c r="W329" s="184">
        <f t="shared" si="126"/>
        <v>0.2070923849246403</v>
      </c>
    </row>
    <row r="330" spans="2:23" ht="20.100000000000001" customHeight="1" x14ac:dyDescent="0.25">
      <c r="B330" s="246">
        <v>42738</v>
      </c>
      <c r="C330" s="247">
        <v>2257.83</v>
      </c>
      <c r="D330" s="172">
        <f t="shared" si="137"/>
        <v>8.4865755774221358E-3</v>
      </c>
      <c r="E330" s="248">
        <f t="shared" si="131"/>
        <v>7.3909362455052169E-2</v>
      </c>
      <c r="F330" s="249">
        <v>5429.08</v>
      </c>
      <c r="G330" s="172">
        <f t="shared" si="136"/>
        <v>8.5396731629114511E-3</v>
      </c>
      <c r="H330" s="250">
        <f t="shared" si="132"/>
        <v>6.6260777343519872E-2</v>
      </c>
      <c r="I330" s="566">
        <v>327489.65000000002</v>
      </c>
      <c r="J330" s="252">
        <v>300000</v>
      </c>
      <c r="K330" s="252">
        <f t="shared" si="133"/>
        <v>5180.2700000000186</v>
      </c>
      <c r="L330" s="172">
        <f t="shared" si="135"/>
        <v>1.6072352594888855E-2</v>
      </c>
      <c r="M330" s="253">
        <f t="shared" si="125"/>
        <v>27489.650000000023</v>
      </c>
      <c r="N330" s="254">
        <f t="shared" si="130"/>
        <v>9.1632166666666751E-2</v>
      </c>
      <c r="O330" s="253" t="b">
        <f t="shared" si="134"/>
        <v>1</v>
      </c>
      <c r="P330" s="254">
        <f>COUNTIF(O$2:O330, TRUE)/(COUNTIF(O$2:O330,FALSE) + COUNTIF(O$2:O330, TRUE))</f>
        <v>0.49848024316109424</v>
      </c>
      <c r="Q330" s="252">
        <v>246849.1</v>
      </c>
      <c r="R330" s="252">
        <f t="shared" si="138"/>
        <v>80640.550000000017</v>
      </c>
      <c r="S330" s="252">
        <v>-28453</v>
      </c>
      <c r="T330" s="252">
        <f t="shared" si="129"/>
        <v>55942.650000000023</v>
      </c>
      <c r="U330" s="254">
        <f>STDEV(D$2:D330)*SQRT(252)</f>
        <v>0.16527453966612005</v>
      </c>
      <c r="V330" s="254">
        <f>STDEV(L$2:L330)*SQRT(252)</f>
        <v>0.35879195158503097</v>
      </c>
      <c r="W330" s="253">
        <f t="shared" si="126"/>
        <v>0.25539080868972786</v>
      </c>
    </row>
    <row r="331" spans="2:23" ht="20.100000000000001" customHeight="1" x14ac:dyDescent="0.25">
      <c r="B331" s="246">
        <v>42739</v>
      </c>
      <c r="C331" s="247">
        <v>2270.75</v>
      </c>
      <c r="D331" s="172">
        <f t="shared" si="137"/>
        <v>5.7223085883348493E-3</v>
      </c>
      <c r="E331" s="248">
        <f t="shared" si="131"/>
        <v>8.0054603222921905E-2</v>
      </c>
      <c r="F331" s="249">
        <v>5477</v>
      </c>
      <c r="G331" s="172">
        <f t="shared" si="136"/>
        <v>8.8265415134792767E-3</v>
      </c>
      <c r="H331" s="250">
        <f t="shared" si="132"/>
        <v>7.5672172358937126E-2</v>
      </c>
      <c r="I331" s="566">
        <v>330177.02</v>
      </c>
      <c r="J331" s="252">
        <v>300000</v>
      </c>
      <c r="K331" s="252">
        <f t="shared" si="133"/>
        <v>2687.3699999999953</v>
      </c>
      <c r="L331" s="172">
        <f t="shared" si="135"/>
        <v>8.2059692573490349E-3</v>
      </c>
      <c r="M331" s="253">
        <f t="shared" si="125"/>
        <v>30177.020000000019</v>
      </c>
      <c r="N331" s="254">
        <f t="shared" si="130"/>
        <v>0.10059006666666673</v>
      </c>
      <c r="O331" s="253" t="b">
        <f t="shared" si="134"/>
        <v>1</v>
      </c>
      <c r="P331" s="254">
        <f>COUNTIF(O$2:O331, TRUE)/(COUNTIF(O$2:O331,FALSE) + COUNTIF(O$2:O331, TRUE))</f>
        <v>0.5</v>
      </c>
      <c r="Q331" s="252">
        <v>236646.05</v>
      </c>
      <c r="R331" s="252">
        <f t="shared" si="138"/>
        <v>93530.97000000003</v>
      </c>
      <c r="S331" s="252">
        <v>-27557</v>
      </c>
      <c r="T331" s="252">
        <f t="shared" si="129"/>
        <v>57734.020000000019</v>
      </c>
      <c r="U331" s="254">
        <f>STDEV(D$2:D331)*SQRT(252)</f>
        <v>0.1650913475554088</v>
      </c>
      <c r="V331" s="254">
        <f>STDEV(L$2:L331)*SQRT(252)</f>
        <v>0.3583037455998867</v>
      </c>
      <c r="W331" s="253">
        <f t="shared" si="126"/>
        <v>0.2807396459064494</v>
      </c>
    </row>
    <row r="332" spans="2:23" ht="20.100000000000001" customHeight="1" x14ac:dyDescent="0.25">
      <c r="B332" s="246">
        <v>42740</v>
      </c>
      <c r="C332" s="336">
        <v>2269</v>
      </c>
      <c r="D332" s="172">
        <f t="shared" si="137"/>
        <v>-7.7067048332048887E-4</v>
      </c>
      <c r="E332" s="248">
        <f t="shared" si="131"/>
        <v>7.9222237019843586E-2</v>
      </c>
      <c r="F332" s="249">
        <v>5487.93</v>
      </c>
      <c r="G332" s="172">
        <f t="shared" si="136"/>
        <v>1.995618039072538E-3</v>
      </c>
      <c r="H332" s="250">
        <f t="shared" si="132"/>
        <v>7.7818803150224977E-2</v>
      </c>
      <c r="I332" s="566">
        <v>330571.57</v>
      </c>
      <c r="J332" s="252">
        <v>300000</v>
      </c>
      <c r="K332" s="252">
        <f t="shared" si="133"/>
        <v>394.54999999998836</v>
      </c>
      <c r="L332" s="172">
        <f t="shared" si="135"/>
        <v>1.1949650523830771E-3</v>
      </c>
      <c r="M332" s="253">
        <f t="shared" si="125"/>
        <v>30571.570000000007</v>
      </c>
      <c r="N332" s="254">
        <f t="shared" si="130"/>
        <v>0.10190523333333336</v>
      </c>
      <c r="O332" s="253" t="b">
        <f t="shared" si="134"/>
        <v>1</v>
      </c>
      <c r="P332" s="254">
        <f>COUNTIF(O$2:O332, TRUE)/(COUNTIF(O$2:O332,FALSE) + COUNTIF(O$2:O332, TRUE))</f>
        <v>0.50151057401812693</v>
      </c>
      <c r="Q332" s="252">
        <v>239220.1</v>
      </c>
      <c r="R332" s="252">
        <f t="shared" ref="R332:R361" si="139">I332-Q332</f>
        <v>91351.47</v>
      </c>
      <c r="S332" s="252">
        <v>-27577</v>
      </c>
      <c r="T332" s="252">
        <f t="shared" si="129"/>
        <v>58148.570000000007</v>
      </c>
      <c r="U332" s="254">
        <f>STDEV(D$2:D332)*SQRT(252)</f>
        <v>0.16484285342326518</v>
      </c>
      <c r="V332" s="254">
        <f>STDEV(L$2:L332)*SQRT(252)</f>
        <v>0.35775897178882049</v>
      </c>
      <c r="W332" s="253">
        <f t="shared" si="126"/>
        <v>0.28484326423401735</v>
      </c>
    </row>
    <row r="333" spans="2:23" ht="20.100000000000001" customHeight="1" x14ac:dyDescent="0.25">
      <c r="B333" s="246">
        <v>42741</v>
      </c>
      <c r="C333" s="336">
        <v>2276.98</v>
      </c>
      <c r="D333" s="172">
        <f t="shared" si="137"/>
        <v>3.516967827236676E-3</v>
      </c>
      <c r="E333" s="248">
        <f t="shared" si="131"/>
        <v>8.3017826905880762E-2</v>
      </c>
      <c r="F333" s="249">
        <v>5521.05</v>
      </c>
      <c r="G333" s="172">
        <f t="shared" si="136"/>
        <v>6.0350624005772466E-3</v>
      </c>
      <c r="H333" s="250">
        <f t="shared" si="132"/>
        <v>8.4323506883752064E-2</v>
      </c>
      <c r="I333" s="566">
        <v>329655.77</v>
      </c>
      <c r="J333" s="252">
        <v>300000</v>
      </c>
      <c r="K333" s="252">
        <f t="shared" si="133"/>
        <v>-915.79999999998836</v>
      </c>
      <c r="L333" s="172">
        <f t="shared" si="135"/>
        <v>-2.7703531794944988E-3</v>
      </c>
      <c r="M333" s="253">
        <f t="shared" si="125"/>
        <v>29655.770000000019</v>
      </c>
      <c r="N333" s="254">
        <f t="shared" si="130"/>
        <v>9.8852566666666725E-2</v>
      </c>
      <c r="O333" s="253" t="b">
        <f t="shared" si="134"/>
        <v>0</v>
      </c>
      <c r="P333" s="254">
        <f>COUNTIF(O$2:O333, TRUE)/(COUNTIF(O$2:O333,FALSE) + COUNTIF(O$2:O333, TRUE))</f>
        <v>0.5</v>
      </c>
      <c r="Q333" s="252">
        <v>244584.65</v>
      </c>
      <c r="R333" s="252">
        <f t="shared" si="139"/>
        <v>85071.120000000024</v>
      </c>
      <c r="S333" s="252">
        <v>-26799</v>
      </c>
      <c r="T333" s="252">
        <f t="shared" si="129"/>
        <v>56454.770000000019</v>
      </c>
      <c r="U333" s="254">
        <f>STDEV(D$2:D333)*SQRT(252)</f>
        <v>0.16461706321052907</v>
      </c>
      <c r="V333" s="254">
        <f>STDEV(L$2:L333)*SQRT(252)</f>
        <v>0.35723001747832872</v>
      </c>
      <c r="W333" s="253">
        <f t="shared" si="126"/>
        <v>0.27671965352873401</v>
      </c>
    </row>
    <row r="334" spans="2:23" ht="20.100000000000001" customHeight="1" x14ac:dyDescent="0.25">
      <c r="B334" s="173">
        <v>42744</v>
      </c>
      <c r="C334" s="217">
        <v>2268.9</v>
      </c>
      <c r="D334" s="172">
        <f t="shared" si="137"/>
        <v>-3.5485599346502506E-3</v>
      </c>
      <c r="E334" s="211">
        <f t="shared" si="131"/>
        <v>7.9174673236810572E-2</v>
      </c>
      <c r="F334" s="221">
        <v>5531.81</v>
      </c>
      <c r="G334" s="172">
        <f t="shared" si="136"/>
        <v>1.9489046467610722E-3</v>
      </c>
      <c r="H334" s="205">
        <f t="shared" si="132"/>
        <v>8.6436750004910065E-2</v>
      </c>
      <c r="I334" s="223">
        <v>326473.82</v>
      </c>
      <c r="J334" s="174">
        <v>300000</v>
      </c>
      <c r="K334" s="174">
        <f t="shared" si="133"/>
        <v>-3181.9500000000116</v>
      </c>
      <c r="L334" s="172">
        <f t="shared" si="135"/>
        <v>-9.652341289218179E-3</v>
      </c>
      <c r="M334" s="184">
        <f t="shared" si="125"/>
        <v>26473.820000000007</v>
      </c>
      <c r="N334" s="186">
        <f t="shared" si="130"/>
        <v>8.8246066666666692E-2</v>
      </c>
      <c r="O334" s="184" t="b">
        <f t="shared" si="134"/>
        <v>0</v>
      </c>
      <c r="P334" s="186">
        <f>COUNTIF(O$2:O334, TRUE)/(COUNTIF(O$2:O334,FALSE) + COUNTIF(O$2:O334, TRUE))</f>
        <v>0.49849849849849848</v>
      </c>
      <c r="Q334" s="174">
        <v>241402.7</v>
      </c>
      <c r="R334" s="174">
        <f t="shared" si="139"/>
        <v>85071.12</v>
      </c>
      <c r="S334" s="174">
        <v>-27249</v>
      </c>
      <c r="T334" s="174">
        <f t="shared" si="129"/>
        <v>53722.820000000007</v>
      </c>
      <c r="U334" s="186">
        <f>STDEV(D$2:D334)*SQRT(252)</f>
        <v>0.1644023055783676</v>
      </c>
      <c r="V334" s="186">
        <f>STDEV(L$2:L334)*SQRT(252)</f>
        <v>0.35680577395997881</v>
      </c>
      <c r="W334" s="184">
        <f t="shared" si="126"/>
        <v>0.24732241770438623</v>
      </c>
    </row>
    <row r="335" spans="2:23" ht="20.100000000000001" customHeight="1" x14ac:dyDescent="0.25">
      <c r="B335" s="173">
        <v>42745</v>
      </c>
      <c r="C335" s="217">
        <v>2268.9</v>
      </c>
      <c r="D335" s="172">
        <f>(C335-C334)/C334</f>
        <v>0</v>
      </c>
      <c r="E335" s="211">
        <f t="shared" si="131"/>
        <v>7.9174673236810572E-2</v>
      </c>
      <c r="F335" s="221">
        <v>5551.81</v>
      </c>
      <c r="G335" s="172">
        <f t="shared" ref="G335:G358" si="140">(F335-F334)/F334</f>
        <v>3.6154531699389529E-3</v>
      </c>
      <c r="H335" s="205">
        <f t="shared" si="132"/>
        <v>9.0364711196653499E-2</v>
      </c>
      <c r="I335" s="223">
        <v>326978.32</v>
      </c>
      <c r="J335" s="174">
        <v>300000</v>
      </c>
      <c r="K335" s="174">
        <f t="shared" si="133"/>
        <v>504.5</v>
      </c>
      <c r="L335" s="172">
        <f t="shared" si="135"/>
        <v>1.545300018237297E-3</v>
      </c>
      <c r="M335" s="184">
        <f t="shared" si="125"/>
        <v>26978.320000000007</v>
      </c>
      <c r="N335" s="186">
        <f t="shared" si="130"/>
        <v>8.9927733333333357E-2</v>
      </c>
      <c r="O335" s="184" t="b">
        <f t="shared" si="134"/>
        <v>1</v>
      </c>
      <c r="P335" s="186">
        <f>COUNTIF(O$2:O335, TRUE)/(COUNTIF(O$2:O335,FALSE) + COUNTIF(O$2:O335, TRUE))</f>
        <v>0.5</v>
      </c>
      <c r="Q335" s="174">
        <v>241907.20000000001</v>
      </c>
      <c r="R335" s="174">
        <f t="shared" si="139"/>
        <v>85071.12</v>
      </c>
      <c r="S335" s="174">
        <v>-27297</v>
      </c>
      <c r="T335" s="174">
        <f t="shared" si="129"/>
        <v>54275.320000000007</v>
      </c>
      <c r="U335" s="186">
        <f>STDEV(D$2:D335)*SQRT(252)</f>
        <v>0.16415470946518282</v>
      </c>
      <c r="V335" s="186">
        <f>STDEV(L$2:L335)*SQRT(252)</f>
        <v>0.35626868426595099</v>
      </c>
      <c r="W335" s="184">
        <f t="shared" si="126"/>
        <v>0.25241548669543801</v>
      </c>
    </row>
    <row r="336" spans="2:23" ht="20.100000000000001" customHeight="1" x14ac:dyDescent="0.25">
      <c r="B336" s="173">
        <v>42746</v>
      </c>
      <c r="C336" s="217">
        <v>2275.3200000000002</v>
      </c>
      <c r="D336" s="172">
        <f>(C336-C335)/C335</f>
        <v>2.8295649874388791E-3</v>
      </c>
      <c r="E336" s="211">
        <f t="shared" si="131"/>
        <v>8.2228268107532254E-2</v>
      </c>
      <c r="F336" s="221">
        <v>5563.64</v>
      </c>
      <c r="G336" s="172">
        <f t="shared" si="140"/>
        <v>2.1308366100424776E-3</v>
      </c>
      <c r="H336" s="205">
        <f t="shared" si="132"/>
        <v>9.2688100241569718E-2</v>
      </c>
      <c r="I336" s="223">
        <v>329085.82</v>
      </c>
      <c r="J336" s="174">
        <v>300000</v>
      </c>
      <c r="K336" s="174">
        <f t="shared" si="133"/>
        <v>2107.5</v>
      </c>
      <c r="L336" s="172">
        <f t="shared" si="135"/>
        <v>6.4453814552597856E-3</v>
      </c>
      <c r="M336" s="184">
        <f t="shared" si="125"/>
        <v>29085.820000000007</v>
      </c>
      <c r="N336" s="186">
        <f t="shared" si="130"/>
        <v>9.695273333333336E-2</v>
      </c>
      <c r="O336" s="184" t="b">
        <f t="shared" si="134"/>
        <v>1</v>
      </c>
      <c r="P336" s="186">
        <f>COUNTIF(O$2:O336, TRUE)/(COUNTIF(O$2:O336,FALSE) + COUNTIF(O$2:O336, TRUE))</f>
        <v>0.5014925373134328</v>
      </c>
      <c r="Q336" s="174">
        <v>251208.6</v>
      </c>
      <c r="R336" s="174">
        <f t="shared" si="139"/>
        <v>77877.22</v>
      </c>
      <c r="S336" s="174">
        <v>-26997</v>
      </c>
      <c r="T336" s="174">
        <f t="shared" si="129"/>
        <v>56082.820000000007</v>
      </c>
      <c r="U336" s="186">
        <f>STDEV(D$2:D336)*SQRT(252)</f>
        <v>0.16392298199837227</v>
      </c>
      <c r="V336" s="186">
        <f>STDEV(L$2:L336)*SQRT(252)</f>
        <v>0.35576772600589157</v>
      </c>
      <c r="W336" s="184">
        <f t="shared" si="126"/>
        <v>0.2725169436300352</v>
      </c>
    </row>
    <row r="337" spans="2:23" ht="20.100000000000001" customHeight="1" x14ac:dyDescent="0.25">
      <c r="B337" s="173">
        <v>42747</v>
      </c>
      <c r="C337" s="217">
        <v>2270.44</v>
      </c>
      <c r="D337" s="172">
        <f>(C337-C336)/C336</f>
        <v>-2.1447532654747942E-3</v>
      </c>
      <c r="E337" s="211">
        <f t="shared" si="131"/>
        <v>7.9907155495519494E-2</v>
      </c>
      <c r="F337" s="221">
        <v>5547.48</v>
      </c>
      <c r="G337" s="172">
        <f t="shared" si="140"/>
        <v>-2.9045732649849313E-3</v>
      </c>
      <c r="H337" s="205">
        <f t="shared" si="132"/>
        <v>8.9514307598640874E-2</v>
      </c>
      <c r="I337" s="223">
        <v>326943.46999999997</v>
      </c>
      <c r="J337" s="174">
        <v>300000</v>
      </c>
      <c r="K337" s="174">
        <f t="shared" si="133"/>
        <v>-2142.3500000000349</v>
      </c>
      <c r="L337" s="172">
        <f t="shared" si="135"/>
        <v>-6.5100039861943453E-3</v>
      </c>
      <c r="M337" s="184">
        <f t="shared" si="125"/>
        <v>26943.469999999972</v>
      </c>
      <c r="N337" s="186">
        <f t="shared" si="130"/>
        <v>8.9811566666666579E-2</v>
      </c>
      <c r="O337" s="184" t="b">
        <f t="shared" si="134"/>
        <v>0</v>
      </c>
      <c r="P337" s="186">
        <f>COUNTIF(O$2:O337, TRUE)/(COUNTIF(O$2:O337,FALSE) + COUNTIF(O$2:O337, TRUE))</f>
        <v>0.5</v>
      </c>
      <c r="Q337" s="174">
        <v>249037.25</v>
      </c>
      <c r="R337" s="174">
        <f t="shared" si="139"/>
        <v>77906.219999999972</v>
      </c>
      <c r="S337" s="174">
        <v>-27073</v>
      </c>
      <c r="T337" s="174">
        <f t="shared" si="129"/>
        <v>54016.469999999972</v>
      </c>
      <c r="U337" s="186">
        <f>STDEV(D$2:D337)*SQRT(252)</f>
        <v>0.1636910220978732</v>
      </c>
      <c r="V337" s="186">
        <f>STDEV(L$2:L337)*SQRT(252)</f>
        <v>0.35529082433819081</v>
      </c>
      <c r="W337" s="184">
        <f t="shared" si="126"/>
        <v>0.2527832426687654</v>
      </c>
    </row>
    <row r="338" spans="2:23" ht="20.100000000000001" customHeight="1" x14ac:dyDescent="0.25">
      <c r="B338" s="173">
        <v>42748</v>
      </c>
      <c r="C338" s="217">
        <v>2274.64</v>
      </c>
      <c r="D338" s="172">
        <f>(C338-C337)/C337</f>
        <v>1.8498617008156208E-3</v>
      </c>
      <c r="E338" s="211">
        <f t="shared" si="131"/>
        <v>8.1904834382907396E-2</v>
      </c>
      <c r="F338" s="221">
        <v>5574.12</v>
      </c>
      <c r="G338" s="172">
        <f t="shared" si="140"/>
        <v>4.8021804495014548E-3</v>
      </c>
      <c r="H338" s="205">
        <f t="shared" si="132"/>
        <v>9.4746351906043191E-2</v>
      </c>
      <c r="I338" s="223">
        <v>327247.34999999998</v>
      </c>
      <c r="J338" s="174">
        <v>300000</v>
      </c>
      <c r="K338" s="174">
        <f t="shared" si="133"/>
        <v>303.88000000000466</v>
      </c>
      <c r="L338" s="172">
        <f t="shared" si="135"/>
        <v>9.2945731566378945E-4</v>
      </c>
      <c r="M338" s="184">
        <f t="shared" si="125"/>
        <v>27247.349999999977</v>
      </c>
      <c r="N338" s="186">
        <f t="shared" si="130"/>
        <v>9.0824499999999919E-2</v>
      </c>
      <c r="O338" s="184" t="b">
        <f t="shared" si="134"/>
        <v>0</v>
      </c>
      <c r="P338" s="186">
        <f>COUNTIF(O$2:O338, TRUE)/(COUNTIF(O$2:O338,FALSE) + COUNTIF(O$2:O338, TRUE))</f>
        <v>0.49851632047477745</v>
      </c>
      <c r="Q338" s="174">
        <v>250832.3</v>
      </c>
      <c r="R338" s="174">
        <f t="shared" si="139"/>
        <v>76415.049999999988</v>
      </c>
      <c r="S338" s="174">
        <v>-26980</v>
      </c>
      <c r="T338" s="174">
        <f t="shared" si="129"/>
        <v>54227.349999999977</v>
      </c>
      <c r="U338" s="186">
        <f>STDEV(D$2:D338)*SQRT(252)</f>
        <v>0.1634521615646928</v>
      </c>
      <c r="V338" s="186">
        <f>STDEV(L$2:L338)*SQRT(252)</f>
        <v>0.35476017854562014</v>
      </c>
      <c r="W338" s="184">
        <f t="shared" si="126"/>
        <v>0.25601661486456945</v>
      </c>
    </row>
    <row r="339" spans="2:23" ht="20.100000000000001" customHeight="1" x14ac:dyDescent="0.25">
      <c r="B339" s="246">
        <v>42752</v>
      </c>
      <c r="C339" s="336">
        <v>2267.89</v>
      </c>
      <c r="D339" s="172">
        <f>(C339-C338)/C338</f>
        <v>-2.9675025498540428E-3</v>
      </c>
      <c r="E339" s="248">
        <f t="shared" si="131"/>
        <v>7.8694279028176703E-2</v>
      </c>
      <c r="F339" s="249">
        <v>5538.72</v>
      </c>
      <c r="G339" s="172">
        <f t="shared" si="140"/>
        <v>-6.3507782394350383E-3</v>
      </c>
      <c r="H339" s="250">
        <f t="shared" si="132"/>
        <v>8.7793860596657392E-2</v>
      </c>
      <c r="I339" s="566">
        <v>326901.49</v>
      </c>
      <c r="J339" s="252">
        <v>300000</v>
      </c>
      <c r="K339" s="252">
        <f t="shared" si="133"/>
        <v>-345.85999999998603</v>
      </c>
      <c r="L339" s="172">
        <f t="shared" si="135"/>
        <v>-1.0568763964016394E-3</v>
      </c>
      <c r="M339" s="253">
        <f t="shared" si="125"/>
        <v>26901.489999999991</v>
      </c>
      <c r="N339" s="254">
        <f t="shared" si="130"/>
        <v>8.9671633333333306E-2</v>
      </c>
      <c r="O339" s="253" t="b">
        <f t="shared" si="134"/>
        <v>1</v>
      </c>
      <c r="P339" s="254">
        <f>COUNTIF(O$2:O339, TRUE)/(COUNTIF(O$2:O339,FALSE) + COUNTIF(O$2:O339, TRUE))</f>
        <v>0.5</v>
      </c>
      <c r="Q339" s="252">
        <v>246815.4</v>
      </c>
      <c r="R339" s="252">
        <f t="shared" si="139"/>
        <v>80086.09</v>
      </c>
      <c r="S339" s="252">
        <v>-26747</v>
      </c>
      <c r="T339" s="252">
        <f t="shared" si="129"/>
        <v>53648.489999999991</v>
      </c>
      <c r="U339" s="254">
        <f>STDEV(D$2:D339)*SQRT(252)</f>
        <v>0.16323301111868488</v>
      </c>
      <c r="V339" s="254">
        <f>STDEV(L$2:L339)*SQRT(252)</f>
        <v>0.35423530326809799</v>
      </c>
      <c r="W339" s="253">
        <f t="shared" si="126"/>
        <v>0.25314143594961397</v>
      </c>
    </row>
    <row r="340" spans="2:23" ht="20.100000000000001" customHeight="1" x14ac:dyDescent="0.25">
      <c r="B340" s="246">
        <v>42753</v>
      </c>
      <c r="C340" s="336">
        <v>2271.89</v>
      </c>
      <c r="D340" s="172">
        <f t="shared" ref="D340:D348" si="141">(C340-C339)/C339</f>
        <v>1.7637539739581726E-3</v>
      </c>
      <c r="E340" s="248">
        <f t="shared" si="131"/>
        <v>8.0596830349498591E-2</v>
      </c>
      <c r="F340" s="249">
        <v>5555.65</v>
      </c>
      <c r="G340" s="172">
        <f t="shared" si="140"/>
        <v>3.0566629112862504E-3</v>
      </c>
      <c r="H340" s="250">
        <f t="shared" si="132"/>
        <v>9.1118879745468076E-2</v>
      </c>
      <c r="I340" s="566">
        <v>326777.7</v>
      </c>
      <c r="J340" s="252">
        <v>300000</v>
      </c>
      <c r="K340" s="252">
        <f t="shared" si="133"/>
        <v>-123.78999999997905</v>
      </c>
      <c r="L340" s="172">
        <f t="shared" si="135"/>
        <v>-3.7867676895562345E-4</v>
      </c>
      <c r="M340" s="253">
        <f t="shared" si="125"/>
        <v>26777.700000000012</v>
      </c>
      <c r="N340" s="254">
        <f t="shared" si="130"/>
        <v>8.9259000000000033E-2</v>
      </c>
      <c r="O340" s="253" t="b">
        <f t="shared" si="134"/>
        <v>0</v>
      </c>
      <c r="P340" s="254">
        <f>COUNTIF(O$2:O340, TRUE)/(COUNTIF(O$2:O340,FALSE) + COUNTIF(O$2:O340, TRUE))</f>
        <v>0.49852507374631266</v>
      </c>
      <c r="Q340" s="252">
        <v>244625.7</v>
      </c>
      <c r="R340" s="252">
        <f t="shared" si="139"/>
        <v>82152</v>
      </c>
      <c r="S340" s="252">
        <v>-26746</v>
      </c>
      <c r="T340" s="252">
        <f t="shared" si="129"/>
        <v>53523.700000000012</v>
      </c>
      <c r="U340" s="254">
        <f>STDEV(D$2:D340)*SQRT(252)</f>
        <v>0.16299569851885642</v>
      </c>
      <c r="V340" s="254">
        <f>STDEV(L$2:L340)*SQRT(252)</f>
        <v>0.35371066425752529</v>
      </c>
      <c r="W340" s="253">
        <f t="shared" si="126"/>
        <v>0.25235032194283358</v>
      </c>
    </row>
    <row r="341" spans="2:23" ht="20.100000000000001" customHeight="1" x14ac:dyDescent="0.25">
      <c r="B341" s="246">
        <v>42754</v>
      </c>
      <c r="C341" s="336">
        <v>2263.69</v>
      </c>
      <c r="D341" s="172">
        <f t="shared" si="141"/>
        <v>-3.6093296770529464E-3</v>
      </c>
      <c r="E341" s="248">
        <f t="shared" si="131"/>
        <v>7.6696600140788801E-2</v>
      </c>
      <c r="F341" s="249">
        <v>5540.08</v>
      </c>
      <c r="G341" s="172">
        <f t="shared" si="140"/>
        <v>-2.8025523566098855E-3</v>
      </c>
      <c r="H341" s="250">
        <f t="shared" si="132"/>
        <v>8.8060961957695888E-2</v>
      </c>
      <c r="I341" s="566">
        <v>324862.34999999998</v>
      </c>
      <c r="J341" s="252">
        <v>300000</v>
      </c>
      <c r="K341" s="252">
        <f t="shared" si="133"/>
        <v>-1915.3500000000349</v>
      </c>
      <c r="L341" s="172">
        <f t="shared" si="135"/>
        <v>-5.8613240744397029E-3</v>
      </c>
      <c r="M341" s="253">
        <f t="shared" si="125"/>
        <v>24862.349999999977</v>
      </c>
      <c r="N341" s="254">
        <f t="shared" si="130"/>
        <v>8.287449999999992E-2</v>
      </c>
      <c r="O341" s="253" t="b">
        <f t="shared" si="134"/>
        <v>0</v>
      </c>
      <c r="P341" s="254">
        <f>COUNTIF(O$2:O341, TRUE)/(COUNTIF(O$2:O341,FALSE) + COUNTIF(O$2:O341, TRUE))</f>
        <v>0.49705882352941178</v>
      </c>
      <c r="Q341" s="252">
        <v>251939.75</v>
      </c>
      <c r="R341" s="252">
        <f t="shared" si="139"/>
        <v>72922.599999999977</v>
      </c>
      <c r="S341" s="252">
        <v>-27278</v>
      </c>
      <c r="T341" s="252">
        <f t="shared" si="129"/>
        <v>52140.349999999977</v>
      </c>
      <c r="U341" s="254">
        <f>STDEV(D$2:D341)*SQRT(252)</f>
        <v>0.16278897536112508</v>
      </c>
      <c r="V341" s="254">
        <f>STDEV(L$2:L341)*SQRT(252)</f>
        <v>0.35323287120524727</v>
      </c>
      <c r="W341" s="253">
        <f t="shared" si="126"/>
        <v>0.23461717964477147</v>
      </c>
    </row>
    <row r="342" spans="2:23" ht="20.100000000000001" customHeight="1" x14ac:dyDescent="0.25">
      <c r="B342" s="246">
        <v>42755</v>
      </c>
      <c r="C342" s="336">
        <v>2271.31</v>
      </c>
      <c r="D342" s="172">
        <f t="shared" si="141"/>
        <v>3.3661852992237853E-3</v>
      </c>
      <c r="E342" s="248">
        <f t="shared" si="131"/>
        <v>8.0320960407906955E-2</v>
      </c>
      <c r="F342" s="249">
        <v>5555.33</v>
      </c>
      <c r="G342" s="172">
        <f t="shared" si="140"/>
        <v>2.7526678315114585E-3</v>
      </c>
      <c r="H342" s="250">
        <f t="shared" si="132"/>
        <v>9.1056032366400239E-2</v>
      </c>
      <c r="I342" s="566">
        <v>326822.08</v>
      </c>
      <c r="J342" s="252">
        <v>300000</v>
      </c>
      <c r="K342" s="252">
        <f t="shared" si="133"/>
        <v>1959.7300000000396</v>
      </c>
      <c r="L342" s="172">
        <f t="shared" si="135"/>
        <v>6.0324934545355584E-3</v>
      </c>
      <c r="M342" s="253">
        <f t="shared" si="125"/>
        <v>26822.080000000016</v>
      </c>
      <c r="N342" s="254">
        <f t="shared" si="130"/>
        <v>8.9406933333333383E-2</v>
      </c>
      <c r="O342" s="253" t="b">
        <f t="shared" si="134"/>
        <v>1</v>
      </c>
      <c r="P342" s="254">
        <f>COUNTIF(O$2:O342, TRUE)/(COUNTIF(O$2:O342,FALSE) + COUNTIF(O$2:O342, TRUE))</f>
        <v>0.49853372434017595</v>
      </c>
      <c r="Q342" s="252">
        <v>263368.55</v>
      </c>
      <c r="R342" s="252">
        <f t="shared" si="139"/>
        <v>63453.530000000028</v>
      </c>
      <c r="S342" s="252">
        <v>-27778</v>
      </c>
      <c r="T342" s="252">
        <f t="shared" si="129"/>
        <v>54600.080000000016</v>
      </c>
      <c r="U342" s="254">
        <f>STDEV(D$2:D342)*SQRT(252)</f>
        <v>0.16257054597852011</v>
      </c>
      <c r="V342" s="254">
        <f>STDEV(L$2:L342)*SQRT(252)</f>
        <v>0.35274115689547414</v>
      </c>
      <c r="W342" s="253">
        <f t="shared" si="126"/>
        <v>0.25346328769859666</v>
      </c>
    </row>
    <row r="343" spans="2:23" ht="20.100000000000001" customHeight="1" x14ac:dyDescent="0.25">
      <c r="B343" s="173">
        <v>42758</v>
      </c>
      <c r="C343" s="217">
        <v>2265.1999999999998</v>
      </c>
      <c r="D343" s="172">
        <f t="shared" si="141"/>
        <v>-2.6900775323492289E-3</v>
      </c>
      <c r="E343" s="211">
        <f t="shared" si="131"/>
        <v>7.7414813264587698E-2</v>
      </c>
      <c r="F343" s="221">
        <v>5552.94</v>
      </c>
      <c r="G343" s="172">
        <f t="shared" si="140"/>
        <v>-4.3021746682921221E-4</v>
      </c>
      <c r="H343" s="205">
        <f t="shared" si="132"/>
        <v>9.0586641003986834E-2</v>
      </c>
      <c r="I343" s="223">
        <v>324687.64</v>
      </c>
      <c r="J343" s="174">
        <v>300000</v>
      </c>
      <c r="K343" s="174">
        <f t="shared" si="133"/>
        <v>-2134.4400000000023</v>
      </c>
      <c r="L343" s="172">
        <f t="shared" si="135"/>
        <v>-6.530892894384621E-3</v>
      </c>
      <c r="M343" s="184">
        <f t="shared" si="125"/>
        <v>24687.640000000014</v>
      </c>
      <c r="N343" s="186">
        <f t="shared" si="130"/>
        <v>8.2292133333333378E-2</v>
      </c>
      <c r="O343" s="184" t="b">
        <f t="shared" si="134"/>
        <v>0</v>
      </c>
      <c r="P343" s="186">
        <f>COUNTIF(O$2:O343, TRUE)/(COUNTIF(O$2:O343,FALSE) + COUNTIF(O$2:O343, TRUE))</f>
        <v>0.49707602339181284</v>
      </c>
      <c r="Q343" s="174">
        <v>262468.09999999998</v>
      </c>
      <c r="R343" s="174">
        <f t="shared" si="139"/>
        <v>62219.540000000037</v>
      </c>
      <c r="S343" s="174">
        <v>-28619</v>
      </c>
      <c r="T343" s="174">
        <f t="shared" si="129"/>
        <v>53306.640000000014</v>
      </c>
      <c r="U343" s="186">
        <f>STDEV(D$2:D343)*SQRT(252)</f>
        <v>0.16235136583576509</v>
      </c>
      <c r="V343" s="186">
        <f>STDEV(L$2:L343)*SQRT(252)</f>
        <v>0.3522774110686045</v>
      </c>
      <c r="W343" s="184">
        <f t="shared" si="126"/>
        <v>0.23360036933309739</v>
      </c>
    </row>
    <row r="344" spans="2:23" ht="20.100000000000001" customHeight="1" x14ac:dyDescent="0.25">
      <c r="B344" s="173">
        <v>42759</v>
      </c>
      <c r="C344" s="217">
        <v>2280.0700000000002</v>
      </c>
      <c r="D344" s="172">
        <f t="shared" si="141"/>
        <v>6.5645417623169467E-3</v>
      </c>
      <c r="E344" s="211">
        <f t="shared" si="131"/>
        <v>8.4487547801602003E-2</v>
      </c>
      <c r="F344" s="221">
        <v>5600.95</v>
      </c>
      <c r="G344" s="172">
        <f t="shared" si="140"/>
        <v>8.6458704758200552E-3</v>
      </c>
      <c r="H344" s="205">
        <f t="shared" si="132"/>
        <v>0.10001571184476697</v>
      </c>
      <c r="I344" s="223">
        <v>328611.7</v>
      </c>
      <c r="J344" s="174">
        <v>300000</v>
      </c>
      <c r="K344" s="174">
        <f t="shared" si="133"/>
        <v>3924.0599999999977</v>
      </c>
      <c r="L344" s="172">
        <f t="shared" si="135"/>
        <v>1.208564637693014E-2</v>
      </c>
      <c r="M344" s="184">
        <f t="shared" ref="M344:M361" si="142">I344-J344</f>
        <v>28611.700000000012</v>
      </c>
      <c r="N344" s="186">
        <f t="shared" si="130"/>
        <v>9.5372333333333378E-2</v>
      </c>
      <c r="O344" s="184" t="b">
        <f t="shared" si="134"/>
        <v>1</v>
      </c>
      <c r="P344" s="186">
        <f>COUNTIF(O$2:O344, TRUE)/(COUNTIF(O$2:O344,FALSE) + COUNTIF(O$2:O344, TRUE))</f>
        <v>0.49854227405247814</v>
      </c>
      <c r="Q344" s="174">
        <v>264117.25</v>
      </c>
      <c r="R344" s="174">
        <f t="shared" si="139"/>
        <v>64494.450000000012</v>
      </c>
      <c r="S344" s="174">
        <v>-28448</v>
      </c>
      <c r="T344" s="174">
        <f t="shared" si="129"/>
        <v>57059.700000000012</v>
      </c>
      <c r="U344" s="186">
        <f>STDEV(D$2:D344)*SQRT(252)</f>
        <v>0.16220313783315865</v>
      </c>
      <c r="V344" s="186">
        <f>STDEV(L$2:L344)*SQRT(252)</f>
        <v>0.35189592517189633</v>
      </c>
      <c r="W344" s="184">
        <f t="shared" si="126"/>
        <v>0.27102426175223626</v>
      </c>
    </row>
    <row r="345" spans="2:23" ht="20.100000000000001" customHeight="1" x14ac:dyDescent="0.25">
      <c r="B345" s="173">
        <v>42760</v>
      </c>
      <c r="C345" s="217">
        <v>2298.37</v>
      </c>
      <c r="D345" s="172">
        <f t="shared" si="141"/>
        <v>8.0260693750629254E-3</v>
      </c>
      <c r="E345" s="211">
        <f t="shared" si="131"/>
        <v>9.3191720096649527E-2</v>
      </c>
      <c r="F345" s="221">
        <v>5656.33</v>
      </c>
      <c r="G345" s="172">
        <f t="shared" si="140"/>
        <v>9.887608352154565E-3</v>
      </c>
      <c r="H345" s="205">
        <f t="shared" si="132"/>
        <v>0.11089223638470455</v>
      </c>
      <c r="I345" s="223">
        <v>331080.08</v>
      </c>
      <c r="J345" s="174">
        <v>300000</v>
      </c>
      <c r="K345" s="174">
        <f t="shared" si="133"/>
        <v>2468.3800000000047</v>
      </c>
      <c r="L345" s="172">
        <f t="shared" si="135"/>
        <v>7.511540216005713E-3</v>
      </c>
      <c r="M345" s="184">
        <f t="shared" si="142"/>
        <v>31080.080000000016</v>
      </c>
      <c r="N345" s="186">
        <f t="shared" si="130"/>
        <v>0.10360026666666672</v>
      </c>
      <c r="O345" s="184" t="b">
        <f t="shared" si="134"/>
        <v>0</v>
      </c>
      <c r="P345" s="186">
        <f>COUNTIF(O$2:O345, TRUE)/(COUNTIF(O$2:O345,FALSE) + COUNTIF(O$2:O345, TRUE))</f>
        <v>0.49709302325581395</v>
      </c>
      <c r="Q345" s="174">
        <v>259620.35</v>
      </c>
      <c r="R345" s="174">
        <f t="shared" si="139"/>
        <v>71459.73000000001</v>
      </c>
      <c r="S345" s="174">
        <v>-28211</v>
      </c>
      <c r="T345" s="174">
        <f t="shared" si="129"/>
        <v>59291.080000000016</v>
      </c>
      <c r="U345" s="186">
        <f>STDEV(D$2:D345)*SQRT(252)</f>
        <v>0.16210153500122582</v>
      </c>
      <c r="V345" s="186">
        <f>STDEV(L$2:L345)*SQRT(252)</f>
        <v>0.35142892173835949</v>
      </c>
      <c r="W345" s="184">
        <f t="shared" ref="W345:W361" si="143">N345/V345</f>
        <v>0.29479721291635075</v>
      </c>
    </row>
    <row r="346" spans="2:23" ht="20.100000000000001" customHeight="1" x14ac:dyDescent="0.25">
      <c r="B346" s="173">
        <v>42761</v>
      </c>
      <c r="C346" s="217">
        <v>2296.6799999999998</v>
      </c>
      <c r="D346" s="172">
        <f t="shared" si="141"/>
        <v>-7.3530371524169506E-4</v>
      </c>
      <c r="E346" s="211">
        <f t="shared" si="131"/>
        <v>9.2387892163390994E-2</v>
      </c>
      <c r="F346" s="221">
        <v>5655.17</v>
      </c>
      <c r="G346" s="172">
        <f t="shared" si="140"/>
        <v>-2.0507997234953663E-4</v>
      </c>
      <c r="H346" s="205">
        <f t="shared" si="132"/>
        <v>0.11066441463558345</v>
      </c>
      <c r="I346" s="223">
        <v>330371.86</v>
      </c>
      <c r="J346" s="174">
        <v>300000</v>
      </c>
      <c r="K346" s="174">
        <f t="shared" si="133"/>
        <v>-708.22000000003027</v>
      </c>
      <c r="L346" s="172">
        <f t="shared" si="135"/>
        <v>-2.1391199373880488E-3</v>
      </c>
      <c r="M346" s="184">
        <f t="shared" si="142"/>
        <v>30371.859999999986</v>
      </c>
      <c r="N346" s="186">
        <f t="shared" si="130"/>
        <v>0.10123953333333328</v>
      </c>
      <c r="O346" s="184" t="b">
        <f t="shared" si="134"/>
        <v>0</v>
      </c>
      <c r="P346" s="186">
        <f>COUNTIF(O$2:O346, TRUE)/(COUNTIF(O$2:O346,FALSE) + COUNTIF(O$2:O346, TRUE))</f>
        <v>0.4956521739130435</v>
      </c>
      <c r="Q346" s="174">
        <v>261550.96</v>
      </c>
      <c r="R346" s="174">
        <f t="shared" si="139"/>
        <v>68820.899999999994</v>
      </c>
      <c r="S346" s="174">
        <v>-28489</v>
      </c>
      <c r="T346" s="174">
        <f t="shared" si="129"/>
        <v>58860.859999999986</v>
      </c>
      <c r="U346" s="186">
        <f>STDEV(D$2:D346)*SQRT(252)</f>
        <v>0.16186754333702152</v>
      </c>
      <c r="V346" s="186">
        <f>STDEV(L$2:L346)*SQRT(252)</f>
        <v>0.35092507165589804</v>
      </c>
      <c r="W346" s="184">
        <f t="shared" si="143"/>
        <v>0.28849330387144412</v>
      </c>
    </row>
    <row r="347" spans="2:23" ht="20.100000000000001" customHeight="1" x14ac:dyDescent="0.25">
      <c r="B347" s="173">
        <v>42762</v>
      </c>
      <c r="C347" s="217">
        <v>2294.69</v>
      </c>
      <c r="D347" s="172">
        <f t="shared" si="141"/>
        <v>-8.6646811919805194E-4</v>
      </c>
      <c r="E347" s="211">
        <f t="shared" si="131"/>
        <v>9.1441372881033461E-2</v>
      </c>
      <c r="F347" s="221">
        <v>5660.78</v>
      </c>
      <c r="G347" s="172">
        <f t="shared" si="140"/>
        <v>9.9201261854191345E-4</v>
      </c>
      <c r="H347" s="205">
        <f t="shared" si="132"/>
        <v>0.11176620774986742</v>
      </c>
      <c r="I347" s="223">
        <v>328778.71999999997</v>
      </c>
      <c r="J347" s="174">
        <v>300000</v>
      </c>
      <c r="K347" s="174">
        <f t="shared" si="133"/>
        <v>-1593.140000000014</v>
      </c>
      <c r="L347" s="172">
        <f t="shared" si="135"/>
        <v>-4.822263009930731E-3</v>
      </c>
      <c r="M347" s="184">
        <f t="shared" si="142"/>
        <v>28778.719999999972</v>
      </c>
      <c r="N347" s="186">
        <f t="shared" si="130"/>
        <v>9.5929066666666576E-2</v>
      </c>
      <c r="O347" s="184" t="b">
        <f t="shared" si="134"/>
        <v>0</v>
      </c>
      <c r="P347" s="186">
        <f>COUNTIF(O$2:O347, TRUE)/(COUNTIF(O$2:O347,FALSE) + COUNTIF(O$2:O347, TRUE))</f>
        <v>0.49421965317919075</v>
      </c>
      <c r="Q347" s="174">
        <v>258478.8</v>
      </c>
      <c r="R347" s="174">
        <f t="shared" si="139"/>
        <v>70299.919999999984</v>
      </c>
      <c r="S347" s="174">
        <v>-28586</v>
      </c>
      <c r="T347" s="174">
        <f t="shared" si="129"/>
        <v>57364.719999999972</v>
      </c>
      <c r="U347" s="186">
        <f>STDEV(D$2:D347)*SQRT(252)</f>
        <v>0.16163521958957874</v>
      </c>
      <c r="V347" s="186">
        <f>STDEV(L$2:L347)*SQRT(252)</f>
        <v>0.35044708647568024</v>
      </c>
      <c r="W347" s="184">
        <f t="shared" si="143"/>
        <v>0.27373338335150837</v>
      </c>
    </row>
    <row r="348" spans="2:23" ht="20.100000000000001" customHeight="1" x14ac:dyDescent="0.25">
      <c r="B348" s="246">
        <v>42765</v>
      </c>
      <c r="C348" s="336">
        <v>2280.9</v>
      </c>
      <c r="D348" s="172">
        <f t="shared" si="141"/>
        <v>-6.0095263412486928E-3</v>
      </c>
      <c r="E348" s="248">
        <f t="shared" si="131"/>
        <v>8.488232720077625E-2</v>
      </c>
      <c r="F348" s="249">
        <v>5613.71</v>
      </c>
      <c r="G348" s="172">
        <f t="shared" si="140"/>
        <v>-8.3151085186139919E-3</v>
      </c>
      <c r="H348" s="250">
        <f t="shared" si="132"/>
        <v>0.10252175108509932</v>
      </c>
      <c r="I348" s="566">
        <v>323091.52</v>
      </c>
      <c r="J348" s="252">
        <v>300000</v>
      </c>
      <c r="K348" s="252">
        <f t="shared" si="133"/>
        <v>-5687.1999999999534</v>
      </c>
      <c r="L348" s="172">
        <f t="shared" si="135"/>
        <v>-1.7297956510080561E-2</v>
      </c>
      <c r="M348" s="253">
        <f t="shared" si="142"/>
        <v>23091.520000000019</v>
      </c>
      <c r="N348" s="254">
        <f t="shared" si="130"/>
        <v>7.6971733333333389E-2</v>
      </c>
      <c r="O348" s="253" t="b">
        <f t="shared" si="134"/>
        <v>0</v>
      </c>
      <c r="P348" s="254">
        <f>COUNTIF(O$2:O348, TRUE)/(COUNTIF(O$2:O348,FALSE) + COUNTIF(O$2:O348, TRUE))</f>
        <v>0.49279538904899134</v>
      </c>
      <c r="Q348" s="252">
        <v>273132.59999999998</v>
      </c>
      <c r="R348" s="252">
        <f t="shared" si="139"/>
        <v>49958.920000000042</v>
      </c>
      <c r="S348" s="252">
        <v>-28819</v>
      </c>
      <c r="T348" s="252">
        <f t="shared" si="129"/>
        <v>51910.520000000019</v>
      </c>
      <c r="U348" s="254">
        <f>STDEV(D$2:D348)*SQRT(252)</f>
        <v>0.16149074119515683</v>
      </c>
      <c r="V348" s="254">
        <f>STDEV(L$2:L348)*SQRT(252)</f>
        <v>0.35027731512032595</v>
      </c>
      <c r="W348" s="253">
        <f t="shared" si="143"/>
        <v>0.21974512767660204</v>
      </c>
    </row>
    <row r="349" spans="2:23" ht="20.100000000000001" customHeight="1" x14ac:dyDescent="0.25">
      <c r="B349" s="246">
        <v>42766</v>
      </c>
      <c r="C349" s="336">
        <v>2278.87</v>
      </c>
      <c r="D349" s="172">
        <f t="shared" ref="D349:D363" si="144">(C349-C348)/C348</f>
        <v>-8.8999956157665837E-4</v>
      </c>
      <c r="E349" s="248">
        <f t="shared" si="131"/>
        <v>8.3916782405205295E-2</v>
      </c>
      <c r="F349" s="249">
        <v>5614.78</v>
      </c>
      <c r="G349" s="172">
        <f t="shared" si="140"/>
        <v>1.9060478720840743E-4</v>
      </c>
      <c r="H349" s="250">
        <f t="shared" si="132"/>
        <v>0.10273189700885754</v>
      </c>
      <c r="I349" s="596">
        <v>326440.17</v>
      </c>
      <c r="J349" s="252">
        <v>300000</v>
      </c>
      <c r="K349" s="252">
        <f t="shared" si="133"/>
        <v>3348.6499999999651</v>
      </c>
      <c r="L349" s="172">
        <f t="shared" si="135"/>
        <v>1.0364400774121107E-2</v>
      </c>
      <c r="M349" s="482">
        <f t="shared" si="142"/>
        <v>26440.169999999984</v>
      </c>
      <c r="N349" s="254">
        <f t="shared" si="130"/>
        <v>8.8133899999999946E-2</v>
      </c>
      <c r="O349" s="253" t="b">
        <f t="shared" si="134"/>
        <v>1</v>
      </c>
      <c r="P349" s="254">
        <f>COUNTIF(O$2:O349, TRUE)/(COUNTIF(O$2:O349,FALSE) + COUNTIF(O$2:O349, TRUE))</f>
        <v>0.4942528735632184</v>
      </c>
      <c r="Q349" s="252">
        <v>269996.05</v>
      </c>
      <c r="R349" s="252">
        <f t="shared" si="139"/>
        <v>56444.119999999995</v>
      </c>
      <c r="S349" s="252">
        <v>-28046</v>
      </c>
      <c r="T349" s="252">
        <f t="shared" ref="T349:T361" si="145">M349-S349</f>
        <v>54486.169999999984</v>
      </c>
      <c r="U349" s="254">
        <f>STDEV(D$2:D349)*SQRT(252)</f>
        <v>0.16126032344317026</v>
      </c>
      <c r="V349" s="254">
        <f>STDEV(L$2:L349)*SQRT(252)</f>
        <v>0.34986792755966306</v>
      </c>
      <c r="W349" s="253">
        <f t="shared" si="143"/>
        <v>0.25190619961862737</v>
      </c>
    </row>
    <row r="350" spans="2:23" ht="20.100000000000001" customHeight="1" x14ac:dyDescent="0.25">
      <c r="B350" s="246">
        <v>42767</v>
      </c>
      <c r="C350" s="336">
        <v>2279.5500000000002</v>
      </c>
      <c r="D350" s="172">
        <f t="shared" si="144"/>
        <v>2.9839350204280678E-4</v>
      </c>
      <c r="E350" s="248">
        <f t="shared" si="131"/>
        <v>8.4240216129830167E-2</v>
      </c>
      <c r="F350" s="249">
        <v>5642.65</v>
      </c>
      <c r="G350" s="172">
        <f t="shared" si="140"/>
        <v>4.9636851310291569E-3</v>
      </c>
      <c r="H350" s="250">
        <f t="shared" si="132"/>
        <v>0.10820551092955198</v>
      </c>
      <c r="I350" s="566">
        <v>325798.71999999997</v>
      </c>
      <c r="J350" s="252">
        <v>300000</v>
      </c>
      <c r="K350" s="252">
        <f t="shared" si="133"/>
        <v>-641.45000000001164</v>
      </c>
      <c r="L350" s="172">
        <f t="shared" si="135"/>
        <v>-1.9649848852854464E-3</v>
      </c>
      <c r="M350" s="599">
        <f t="shared" si="142"/>
        <v>25798.719999999972</v>
      </c>
      <c r="N350" s="254">
        <f t="shared" ref="N350:N361" si="146">M350/J350</f>
        <v>8.5995733333333241E-2</v>
      </c>
      <c r="O350" s="253" t="b">
        <f t="shared" si="134"/>
        <v>0</v>
      </c>
      <c r="P350" s="254">
        <f>COUNTIF(O$2:O350, TRUE)/(COUNTIF(O$2:O350,FALSE) + COUNTIF(O$2:O350, TRUE))</f>
        <v>0.49283667621776506</v>
      </c>
      <c r="Q350" s="252">
        <v>267944.34999999998</v>
      </c>
      <c r="R350" s="252">
        <f t="shared" si="139"/>
        <v>57854.369999999995</v>
      </c>
      <c r="S350" s="252">
        <v>-28725</v>
      </c>
      <c r="T350" s="252">
        <f t="shared" si="145"/>
        <v>54523.719999999972</v>
      </c>
      <c r="U350" s="254">
        <f>STDEV(D$2:D350)*SQRT(252)</f>
        <v>0.1610277927077004</v>
      </c>
      <c r="V350" s="254">
        <f>STDEV(L$2:L350)*SQRT(252)</f>
        <v>0.34937088827322704</v>
      </c>
      <c r="W350" s="253">
        <f t="shared" si="143"/>
        <v>0.24614453069735992</v>
      </c>
    </row>
    <row r="351" spans="2:23" ht="20.100000000000001" customHeight="1" x14ac:dyDescent="0.25">
      <c r="B351" s="246">
        <v>42768</v>
      </c>
      <c r="C351" s="336">
        <v>2280.85</v>
      </c>
      <c r="D351" s="172">
        <f t="shared" si="144"/>
        <v>5.7028799543757628E-4</v>
      </c>
      <c r="E351" s="248">
        <f t="shared" si="131"/>
        <v>8.4858545309259639E-2</v>
      </c>
      <c r="F351" s="249">
        <v>5636.19</v>
      </c>
      <c r="G351" s="172">
        <f t="shared" si="140"/>
        <v>-1.1448521528005524E-3</v>
      </c>
      <c r="H351" s="250">
        <f t="shared" si="132"/>
        <v>0.10693677946461885</v>
      </c>
      <c r="I351" s="566">
        <v>326587.24</v>
      </c>
      <c r="J351" s="252">
        <v>300000</v>
      </c>
      <c r="K351" s="252">
        <f t="shared" si="133"/>
        <v>788.52000000001863</v>
      </c>
      <c r="L351" s="172">
        <f t="shared" si="135"/>
        <v>2.4202673356114434E-3</v>
      </c>
      <c r="M351" s="599">
        <f t="shared" si="142"/>
        <v>26587.239999999991</v>
      </c>
      <c r="N351" s="254">
        <f t="shared" si="146"/>
        <v>8.8624133333333299E-2</v>
      </c>
      <c r="O351" s="253" t="b">
        <f t="shared" si="134"/>
        <v>1</v>
      </c>
      <c r="P351" s="254">
        <f>COUNTIF(O$2:O351, TRUE)/(COUNTIF(O$2:O351,FALSE) + COUNTIF(O$2:O351, TRUE))</f>
        <v>0.49428571428571427</v>
      </c>
      <c r="Q351" s="252">
        <v>272398.15000000002</v>
      </c>
      <c r="R351" s="252">
        <f t="shared" si="139"/>
        <v>54189.089999999967</v>
      </c>
      <c r="S351" s="252">
        <v>-29233</v>
      </c>
      <c r="T351" s="252">
        <f t="shared" si="145"/>
        <v>55820.239999999991</v>
      </c>
      <c r="U351" s="254">
        <f>STDEV(D$2:D351)*SQRT(252)</f>
        <v>0.16079644900185747</v>
      </c>
      <c r="V351" s="254">
        <f>STDEV(L$2:L351)*SQRT(252)</f>
        <v>0.34887158546682562</v>
      </c>
      <c r="W351" s="253">
        <f t="shared" si="143"/>
        <v>0.25403081542093836</v>
      </c>
    </row>
    <row r="352" spans="2:23" ht="20.100000000000001" customHeight="1" x14ac:dyDescent="0.25">
      <c r="B352" s="246">
        <v>42769</v>
      </c>
      <c r="C352" s="336">
        <v>2297.42</v>
      </c>
      <c r="D352" s="172">
        <f t="shared" si="144"/>
        <v>7.2648354780016945E-3</v>
      </c>
      <c r="E352" s="248">
        <f t="shared" ref="E352:E361" si="147">(C352-$C$2)/$C$2</f>
        <v>9.2739864157835666E-2</v>
      </c>
      <c r="F352" s="249">
        <v>5666.76</v>
      </c>
      <c r="G352" s="172">
        <f t="shared" si="140"/>
        <v>5.4238767678166672E-3</v>
      </c>
      <c r="H352" s="250">
        <f t="shared" ref="H352:H361" si="148">(F352-F$2)/F$2</f>
        <v>0.1129406681461988</v>
      </c>
      <c r="I352" s="566">
        <v>330217.57</v>
      </c>
      <c r="J352" s="252">
        <v>300000</v>
      </c>
      <c r="K352" s="252">
        <f t="shared" ref="K352:K361" si="149">I352-I351-J352+J351</f>
        <v>3630.3300000000163</v>
      </c>
      <c r="L352" s="172">
        <f t="shared" si="135"/>
        <v>1.1115957867796723E-2</v>
      </c>
      <c r="M352" s="599">
        <f t="shared" si="142"/>
        <v>30217.570000000007</v>
      </c>
      <c r="N352" s="254">
        <f t="shared" si="146"/>
        <v>0.10072523333333336</v>
      </c>
      <c r="O352" s="253" t="b">
        <f t="shared" ref="O352:O361" si="150">L352&gt;D352</f>
        <v>1</v>
      </c>
      <c r="P352" s="254">
        <f>COUNTIF(O$2:O352, TRUE)/(COUNTIF(O$2:O352,FALSE) + COUNTIF(O$2:O352, TRUE))</f>
        <v>0.49572649572649574</v>
      </c>
      <c r="Q352" s="252">
        <v>260496.3</v>
      </c>
      <c r="R352" s="252">
        <f t="shared" si="139"/>
        <v>69721.270000000019</v>
      </c>
      <c r="S352" s="252">
        <v>-28712</v>
      </c>
      <c r="T352" s="252">
        <f t="shared" si="145"/>
        <v>58929.570000000007</v>
      </c>
      <c r="U352" s="254">
        <f>STDEV(D$2:D352)*SQRT(252)</f>
        <v>0.16067512606366424</v>
      </c>
      <c r="V352" s="254">
        <f>STDEV(L$2:L352)*SQRT(252)</f>
        <v>0.34848319217701207</v>
      </c>
      <c r="W352" s="253">
        <f t="shared" si="143"/>
        <v>0.28903899985560844</v>
      </c>
    </row>
    <row r="353" spans="2:23" ht="20.100000000000001" customHeight="1" x14ac:dyDescent="0.25">
      <c r="B353" s="173">
        <v>42772</v>
      </c>
      <c r="C353" s="217">
        <v>2292.56</v>
      </c>
      <c r="D353" s="172">
        <f t="shared" si="144"/>
        <v>-2.115416423640487E-3</v>
      </c>
      <c r="E353" s="211">
        <f t="shared" si="147"/>
        <v>9.0428264302429506E-2</v>
      </c>
      <c r="F353" s="221">
        <v>5663.55</v>
      </c>
      <c r="G353" s="172">
        <f t="shared" si="140"/>
        <v>-5.6646125828516407E-4</v>
      </c>
      <c r="H353" s="205">
        <f t="shared" si="148"/>
        <v>0.11231023037492398</v>
      </c>
      <c r="I353" s="223">
        <v>324431.87</v>
      </c>
      <c r="J353" s="174">
        <v>300000</v>
      </c>
      <c r="K353" s="174">
        <f t="shared" si="149"/>
        <v>-5785.7000000000116</v>
      </c>
      <c r="L353" s="172">
        <f t="shared" si="135"/>
        <v>-1.7520872677974135E-2</v>
      </c>
      <c r="M353" s="184">
        <f t="shared" si="142"/>
        <v>24431.869999999995</v>
      </c>
      <c r="N353" s="186">
        <f t="shared" si="146"/>
        <v>8.1439566666666657E-2</v>
      </c>
      <c r="O353" s="184" t="b">
        <f t="shared" si="150"/>
        <v>0</v>
      </c>
      <c r="P353" s="186">
        <f>COUNTIF(O$2:O353, TRUE)/(COUNTIF(O$2:O353,FALSE) + COUNTIF(O$2:O353, TRUE))</f>
        <v>0.49431818181818182</v>
      </c>
      <c r="Q353" s="174">
        <v>275813.84999999998</v>
      </c>
      <c r="R353" s="174">
        <f t="shared" si="139"/>
        <v>48618.020000000019</v>
      </c>
      <c r="S353" s="174">
        <v>-29700</v>
      </c>
      <c r="T353" s="174">
        <f t="shared" si="145"/>
        <v>54131.869999999995</v>
      </c>
      <c r="U353" s="186">
        <f>STDEV(D$2:D353)*SQRT(252)</f>
        <v>0.16045852618505879</v>
      </c>
      <c r="V353" s="186">
        <f>STDEV(L$2:L353)*SQRT(252)</f>
        <v>0.34832898633424447</v>
      </c>
      <c r="W353" s="184">
        <f t="shared" si="143"/>
        <v>0.23380071674115591</v>
      </c>
    </row>
    <row r="354" spans="2:23" ht="20.100000000000001" customHeight="1" x14ac:dyDescent="0.25">
      <c r="B354" s="173">
        <v>42773</v>
      </c>
      <c r="C354" s="217">
        <v>2293.08</v>
      </c>
      <c r="D354" s="172">
        <f t="shared" si="144"/>
        <v>2.2682067208709122E-4</v>
      </c>
      <c r="E354" s="211">
        <f t="shared" si="147"/>
        <v>9.0675595974201342E-2</v>
      </c>
      <c r="F354" s="221">
        <v>5674.21</v>
      </c>
      <c r="G354" s="172">
        <f t="shared" si="140"/>
        <v>1.8822116870160683E-3</v>
      </c>
      <c r="H354" s="205">
        <f t="shared" si="148"/>
        <v>0.11440383369012319</v>
      </c>
      <c r="I354" s="223">
        <v>321983.64</v>
      </c>
      <c r="J354" s="174">
        <v>300000</v>
      </c>
      <c r="K354" s="174">
        <f t="shared" si="149"/>
        <v>-2448.2299999999814</v>
      </c>
      <c r="L354" s="172">
        <f t="shared" si="135"/>
        <v>-7.5462068507634022E-3</v>
      </c>
      <c r="M354" s="184">
        <f t="shared" si="142"/>
        <v>21983.640000000014</v>
      </c>
      <c r="N354" s="186">
        <f t="shared" si="146"/>
        <v>7.3278800000000047E-2</v>
      </c>
      <c r="O354" s="184" t="b">
        <f t="shared" si="150"/>
        <v>0</v>
      </c>
      <c r="P354" s="186">
        <f>COUNTIF(O$2:O354, TRUE)/(COUNTIF(O$2:O354,FALSE) + COUNTIF(O$2:O354, TRUE))</f>
        <v>0.49291784702549574</v>
      </c>
      <c r="Q354" s="174">
        <v>303519</v>
      </c>
      <c r="R354" s="174">
        <f t="shared" si="139"/>
        <v>18464.640000000014</v>
      </c>
      <c r="S354" s="174">
        <v>-29290</v>
      </c>
      <c r="T354" s="174">
        <f t="shared" si="145"/>
        <v>51273.640000000014</v>
      </c>
      <c r="U354" s="186">
        <f>STDEV(D$2:D354)*SQRT(252)</f>
        <v>0.16022980090956176</v>
      </c>
      <c r="V354" s="186">
        <f>STDEV(L$2:L354)*SQRT(252)</f>
        <v>0.34790227833602405</v>
      </c>
      <c r="W354" s="184">
        <f t="shared" si="143"/>
        <v>0.21063041136288035</v>
      </c>
    </row>
    <row r="355" spans="2:23" ht="20.100000000000001" customHeight="1" x14ac:dyDescent="0.25">
      <c r="B355" s="173">
        <v>42774</v>
      </c>
      <c r="C355" s="217">
        <v>2294.67</v>
      </c>
      <c r="D355" s="172">
        <f t="shared" si="144"/>
        <v>6.9339054895605282E-4</v>
      </c>
      <c r="E355" s="211">
        <f t="shared" si="147"/>
        <v>9.1431860124426861E-2</v>
      </c>
      <c r="F355" s="221">
        <v>5682.45</v>
      </c>
      <c r="G355" s="172">
        <f t="shared" si="140"/>
        <v>1.4521845331772673E-3</v>
      </c>
      <c r="H355" s="205">
        <f t="shared" si="148"/>
        <v>0.11602215370112144</v>
      </c>
      <c r="I355" s="223">
        <v>320220.33</v>
      </c>
      <c r="J355" s="174">
        <v>300000</v>
      </c>
      <c r="K355" s="174">
        <f t="shared" si="149"/>
        <v>-1763.3099999999977</v>
      </c>
      <c r="L355" s="172">
        <f t="shared" si="135"/>
        <v>-5.4763962541699253E-3</v>
      </c>
      <c r="M355" s="184">
        <f t="shared" si="142"/>
        <v>20220.330000000016</v>
      </c>
      <c r="N355" s="186">
        <f t="shared" si="146"/>
        <v>6.7401100000000061E-2</v>
      </c>
      <c r="O355" s="184" t="b">
        <f t="shared" si="150"/>
        <v>0</v>
      </c>
      <c r="P355" s="186">
        <f>COUNTIF(O$2:O355, TRUE)/(COUNTIF(O$2:O355,FALSE) + COUNTIF(O$2:O355, TRUE))</f>
        <v>0.49152542372881358</v>
      </c>
      <c r="Q355" s="174">
        <v>292567</v>
      </c>
      <c r="R355" s="174">
        <f t="shared" si="139"/>
        <v>27653.330000000016</v>
      </c>
      <c r="S355" s="174">
        <v>-30165</v>
      </c>
      <c r="T355" s="174">
        <f t="shared" si="145"/>
        <v>50385.330000000016</v>
      </c>
      <c r="U355" s="186">
        <f>STDEV(D$2:D355)*SQRT(252)</f>
        <v>0.16000238989195567</v>
      </c>
      <c r="V355" s="186">
        <f>STDEV(L$2:L355)*SQRT(252)</f>
        <v>0.34744654612529025</v>
      </c>
      <c r="W355" s="184">
        <f t="shared" si="143"/>
        <v>0.19398984031257294</v>
      </c>
    </row>
    <row r="356" spans="2:23" ht="20.100000000000001" customHeight="1" x14ac:dyDescent="0.25">
      <c r="B356" s="173">
        <v>42775</v>
      </c>
      <c r="C356" s="217">
        <v>2307.87</v>
      </c>
      <c r="D356" s="172">
        <f t="shared" si="144"/>
        <v>5.7524611382027994E-3</v>
      </c>
      <c r="E356" s="211">
        <f t="shared" si="147"/>
        <v>9.7710279484789025E-2</v>
      </c>
      <c r="F356" s="221">
        <v>5715.18</v>
      </c>
      <c r="G356" s="172">
        <f t="shared" si="140"/>
        <v>5.7598395058470336E-3</v>
      </c>
      <c r="H356" s="205">
        <f t="shared" si="148"/>
        <v>0.12245026219140964</v>
      </c>
      <c r="I356" s="223">
        <v>320817.13</v>
      </c>
      <c r="J356" s="174">
        <v>300000</v>
      </c>
      <c r="K356" s="174">
        <f t="shared" si="149"/>
        <v>596.79999999998836</v>
      </c>
      <c r="L356" s="172">
        <f t="shared" si="135"/>
        <v>1.8637167727607686E-3</v>
      </c>
      <c r="M356" s="184">
        <f t="shared" si="142"/>
        <v>20817.130000000005</v>
      </c>
      <c r="N356" s="186">
        <f t="shared" si="146"/>
        <v>6.9390433333333348E-2</v>
      </c>
      <c r="O356" s="184" t="b">
        <f t="shared" si="150"/>
        <v>0</v>
      </c>
      <c r="P356" s="186">
        <f>COUNTIF(O$2:O356, TRUE)/(COUNTIF(O$2:O356,FALSE) + COUNTIF(O$2:O356, TRUE))</f>
        <v>0.49014084507042255</v>
      </c>
      <c r="Q356" s="174">
        <v>304352.8</v>
      </c>
      <c r="R356" s="174">
        <f t="shared" si="139"/>
        <v>16464.330000000016</v>
      </c>
      <c r="S356" s="174">
        <v>-31263</v>
      </c>
      <c r="T356" s="174">
        <f t="shared" si="145"/>
        <v>52080.130000000005</v>
      </c>
      <c r="U356" s="186">
        <f>STDEV(D$2:D356)*SQRT(252)</f>
        <v>0.15984184975435473</v>
      </c>
      <c r="V356" s="186">
        <f>STDEV(L$2:L356)*SQRT(252)</f>
        <v>0.34695557071098138</v>
      </c>
      <c r="W356" s="184">
        <f t="shared" si="143"/>
        <v>0.19999803776356284</v>
      </c>
    </row>
    <row r="357" spans="2:23" ht="20.100000000000001" customHeight="1" x14ac:dyDescent="0.25">
      <c r="B357" s="173">
        <v>42776</v>
      </c>
      <c r="C357" s="217">
        <v>2316.1</v>
      </c>
      <c r="D357" s="172">
        <f t="shared" si="144"/>
        <v>3.566058746809837E-3</v>
      </c>
      <c r="E357" s="211">
        <f t="shared" si="147"/>
        <v>0.10162477882840883</v>
      </c>
      <c r="F357" s="221">
        <v>5734.12</v>
      </c>
      <c r="G357" s="172">
        <f t="shared" si="140"/>
        <v>3.3139813619167896E-3</v>
      </c>
      <c r="H357" s="205">
        <f t="shared" si="148"/>
        <v>0.12617004143999058</v>
      </c>
      <c r="I357" s="223">
        <v>324003.01</v>
      </c>
      <c r="J357" s="174">
        <v>300000</v>
      </c>
      <c r="K357" s="174">
        <f t="shared" si="149"/>
        <v>3185.8800000000047</v>
      </c>
      <c r="L357" s="172">
        <f t="shared" si="135"/>
        <v>9.9305171142201939E-3</v>
      </c>
      <c r="M357" s="184">
        <f t="shared" si="142"/>
        <v>24003.010000000009</v>
      </c>
      <c r="N357" s="186">
        <f t="shared" si="146"/>
        <v>8.0010033333333369E-2</v>
      </c>
      <c r="O357" s="184" t="b">
        <f t="shared" si="150"/>
        <v>1</v>
      </c>
      <c r="P357" s="186">
        <f>COUNTIF(O$2:O357, TRUE)/(COUNTIF(O$2:O357,FALSE) + COUNTIF(O$2:O357, TRUE))</f>
        <v>0.49157303370786515</v>
      </c>
      <c r="Q357" s="174">
        <v>304805.15000000002</v>
      </c>
      <c r="R357" s="174">
        <f t="shared" si="139"/>
        <v>19197.859999999986</v>
      </c>
      <c r="S357" s="174">
        <v>-29099</v>
      </c>
      <c r="T357" s="174">
        <f t="shared" si="145"/>
        <v>53102.010000000009</v>
      </c>
      <c r="U357" s="186">
        <f>STDEV(D$2:D357)*SQRT(252)</f>
        <v>0.15963944268127239</v>
      </c>
      <c r="V357" s="186">
        <f>STDEV(L$2:L357)*SQRT(252)</f>
        <v>0.34655330158164083</v>
      </c>
      <c r="W357" s="184">
        <f t="shared" si="143"/>
        <v>0.230873672154252</v>
      </c>
    </row>
    <row r="358" spans="2:23" ht="20.100000000000001" customHeight="1" x14ac:dyDescent="0.25">
      <c r="B358" s="246">
        <v>42779</v>
      </c>
      <c r="C358" s="336">
        <v>2328.25</v>
      </c>
      <c r="D358" s="172">
        <f t="shared" si="144"/>
        <v>5.2458874832693285E-3</v>
      </c>
      <c r="E358" s="248">
        <f t="shared" si="147"/>
        <v>0.10740377846692412</v>
      </c>
      <c r="F358" s="249">
        <v>5763.95</v>
      </c>
      <c r="G358" s="172">
        <f t="shared" si="140"/>
        <v>5.2021931874463613E-3</v>
      </c>
      <c r="H358" s="250">
        <f t="shared" si="148"/>
        <v>0.1320285955574759</v>
      </c>
      <c r="I358" s="566">
        <v>323021.71000000002</v>
      </c>
      <c r="J358" s="252">
        <v>300000</v>
      </c>
      <c r="K358" s="252">
        <f t="shared" si="149"/>
        <v>-981.29999999998836</v>
      </c>
      <c r="L358" s="172">
        <f t="shared" si="135"/>
        <v>-3.0286755669337402E-3</v>
      </c>
      <c r="M358" s="599">
        <f t="shared" si="142"/>
        <v>23021.710000000021</v>
      </c>
      <c r="N358" s="254">
        <f t="shared" si="146"/>
        <v>7.6739033333333401E-2</v>
      </c>
      <c r="O358" s="253" t="b">
        <f t="shared" si="150"/>
        <v>0</v>
      </c>
      <c r="P358" s="254">
        <f>COUNTIF(O$2:O358, TRUE)/(COUNTIF(O$2:O358,FALSE) + COUNTIF(O$2:O358, TRUE))</f>
        <v>0.49019607843137253</v>
      </c>
      <c r="Q358" s="252">
        <v>303829.84999999998</v>
      </c>
      <c r="R358" s="252">
        <f t="shared" si="139"/>
        <v>19191.860000000044</v>
      </c>
      <c r="S358" s="252">
        <v>-28482</v>
      </c>
      <c r="T358" s="252">
        <f t="shared" si="145"/>
        <v>51503.710000000021</v>
      </c>
      <c r="U358" s="254">
        <f>STDEV(D$2:D358)*SQRT(252)</f>
        <v>0.15946823741298166</v>
      </c>
      <c r="V358" s="254">
        <f>STDEV(L$2:L358)*SQRT(252)</f>
        <v>0.34607892866590223</v>
      </c>
      <c r="W358" s="253">
        <f t="shared" si="143"/>
        <v>0.22173853123376877</v>
      </c>
    </row>
    <row r="359" spans="2:23" ht="20.100000000000001" customHeight="1" x14ac:dyDescent="0.25">
      <c r="B359" s="246">
        <v>42780</v>
      </c>
      <c r="C359" s="336">
        <v>2337.58</v>
      </c>
      <c r="D359" s="172">
        <f t="shared" si="144"/>
        <v>4.0073016213894247E-3</v>
      </c>
      <c r="E359" s="248">
        <f t="shared" si="147"/>
        <v>0.1118414794239074</v>
      </c>
      <c r="F359" s="249">
        <v>5782.57</v>
      </c>
      <c r="G359" s="172">
        <f>(F359-F358)/F358</f>
        <v>3.2304235810511699E-3</v>
      </c>
      <c r="H359" s="250">
        <f t="shared" si="148"/>
        <v>0.135685527426989</v>
      </c>
      <c r="I359" s="566">
        <v>323822.24</v>
      </c>
      <c r="J359" s="252">
        <v>300000</v>
      </c>
      <c r="K359" s="252">
        <f t="shared" si="149"/>
        <v>800.52999999996973</v>
      </c>
      <c r="L359" s="172">
        <f t="shared" si="135"/>
        <v>2.4782544801709139E-3</v>
      </c>
      <c r="M359" s="599">
        <f t="shared" si="142"/>
        <v>23822.239999999991</v>
      </c>
      <c r="N359" s="254">
        <f t="shared" si="146"/>
        <v>7.9407466666666635E-2</v>
      </c>
      <c r="O359" s="253" t="b">
        <f t="shared" si="150"/>
        <v>0</v>
      </c>
      <c r="P359" s="254">
        <f>COUNTIF(O$2:O359, TRUE)/(COUNTIF(O$2:O359,FALSE) + COUNTIF(O$2:O359, TRUE))</f>
        <v>0.48882681564245811</v>
      </c>
      <c r="Q359" s="252">
        <v>305870.8</v>
      </c>
      <c r="R359" s="252">
        <f t="shared" si="139"/>
        <v>17951.440000000002</v>
      </c>
      <c r="S359" s="252">
        <v>-29398</v>
      </c>
      <c r="T359" s="252">
        <f t="shared" si="145"/>
        <v>53220.239999999991</v>
      </c>
      <c r="U359" s="254">
        <f>STDEV(D$2:D359)*SQRT(252)</f>
        <v>0.15927396470902513</v>
      </c>
      <c r="V359" s="254">
        <f>STDEV(L$2:L359)*SQRT(252)</f>
        <v>0.34559585796203202</v>
      </c>
      <c r="W359" s="253">
        <f t="shared" si="143"/>
        <v>0.22976972911345056</v>
      </c>
    </row>
    <row r="360" spans="2:23" ht="20.100000000000001" customHeight="1" x14ac:dyDescent="0.25">
      <c r="B360" s="246">
        <v>42781</v>
      </c>
      <c r="C360" s="336">
        <v>2349.25</v>
      </c>
      <c r="D360" s="172">
        <f t="shared" si="144"/>
        <v>4.9923425080639263E-3</v>
      </c>
      <c r="E360" s="248">
        <f t="shared" si="147"/>
        <v>0.11739217290386406</v>
      </c>
      <c r="F360" s="249">
        <v>5819.44</v>
      </c>
      <c r="G360" s="172">
        <f t="shared" ref="G360:G367" si="151">(F360-F359)/F359</f>
        <v>6.376057704446274E-3</v>
      </c>
      <c r="H360" s="250">
        <f t="shared" si="148"/>
        <v>0.14292672388396799</v>
      </c>
      <c r="I360" s="566">
        <v>324896.15000000002</v>
      </c>
      <c r="J360" s="252">
        <v>300000</v>
      </c>
      <c r="K360" s="252">
        <f t="shared" si="149"/>
        <v>1073.9100000000326</v>
      </c>
      <c r="L360" s="172">
        <f t="shared" si="135"/>
        <v>3.3163565294342741E-3</v>
      </c>
      <c r="M360" s="599">
        <f t="shared" si="142"/>
        <v>24896.150000000023</v>
      </c>
      <c r="N360" s="254">
        <f t="shared" si="146"/>
        <v>8.2987166666666751E-2</v>
      </c>
      <c r="O360" s="253" t="b">
        <f t="shared" si="150"/>
        <v>0</v>
      </c>
      <c r="P360" s="254">
        <f>COUNTIF(O$2:O360, TRUE)/(COUNTIF(O$2:O360,FALSE) + COUNTIF(O$2:O360, TRUE))</f>
        <v>0.48746518105849584</v>
      </c>
      <c r="Q360" s="252">
        <v>284558.05</v>
      </c>
      <c r="R360" s="252">
        <f t="shared" si="139"/>
        <v>40338.100000000035</v>
      </c>
      <c r="S360" s="252">
        <v>-27681</v>
      </c>
      <c r="T360" s="252">
        <f t="shared" si="145"/>
        <v>52577.150000000023</v>
      </c>
      <c r="U360" s="254">
        <f>STDEV(D$2:D360)*SQRT(252)</f>
        <v>0.15909847799191273</v>
      </c>
      <c r="V360" s="254">
        <f>STDEV(L$2:L360)*SQRT(252)</f>
        <v>0.34511860211054446</v>
      </c>
      <c r="W360" s="253">
        <f t="shared" si="143"/>
        <v>0.24045984817730934</v>
      </c>
    </row>
    <row r="361" spans="2:23" ht="20.100000000000001" customHeight="1" x14ac:dyDescent="0.25">
      <c r="B361" s="246">
        <v>42782</v>
      </c>
      <c r="C361" s="336">
        <v>2347.2199999999998</v>
      </c>
      <c r="D361" s="172">
        <f t="shared" si="144"/>
        <v>-8.6410556560612964E-4</v>
      </c>
      <c r="E361" s="248">
        <f t="shared" si="147"/>
        <v>0.1164266281082931</v>
      </c>
      <c r="F361" s="249">
        <v>5814.9</v>
      </c>
      <c r="G361" s="172">
        <f t="shared" si="151"/>
        <v>-7.8014379390456195E-4</v>
      </c>
      <c r="H361" s="250">
        <f t="shared" si="148"/>
        <v>0.14203507669344223</v>
      </c>
      <c r="I361" s="566">
        <v>324092.39</v>
      </c>
      <c r="J361" s="252">
        <v>300000</v>
      </c>
      <c r="K361" s="252">
        <f t="shared" si="149"/>
        <v>-803.76000000000931</v>
      </c>
      <c r="L361" s="172">
        <f t="shared" si="135"/>
        <v>-2.4738981979318909E-3</v>
      </c>
      <c r="M361" s="599">
        <f t="shared" si="142"/>
        <v>24092.390000000014</v>
      </c>
      <c r="N361" s="254">
        <f t="shared" si="146"/>
        <v>8.0307966666666716E-2</v>
      </c>
      <c r="O361" s="253" t="b">
        <f t="shared" si="150"/>
        <v>0</v>
      </c>
      <c r="P361" s="254">
        <f>COUNTIF(O$2:O361, TRUE)/(COUNTIF(O$2:O361,FALSE) + COUNTIF(O$2:O361, TRUE))</f>
        <v>0.4861111111111111</v>
      </c>
      <c r="Q361" s="252">
        <v>276682.59999999998</v>
      </c>
      <c r="R361" s="252">
        <f t="shared" si="139"/>
        <v>47409.790000000037</v>
      </c>
      <c r="S361" s="252">
        <v>-27918</v>
      </c>
      <c r="T361" s="252">
        <f t="shared" si="145"/>
        <v>52010.390000000014</v>
      </c>
      <c r="U361" s="254">
        <f>STDEV(D$2:D361)*SQRT(252)</f>
        <v>0.15887942855924012</v>
      </c>
      <c r="V361" s="254">
        <f>STDEV(L$2:L361)*SQRT(252)</f>
        <v>0.34464640532598995</v>
      </c>
      <c r="W361" s="253">
        <f t="shared" si="143"/>
        <v>0.23301553541725176</v>
      </c>
    </row>
    <row r="362" spans="2:23" ht="20.100000000000001" customHeight="1" x14ac:dyDescent="0.25">
      <c r="B362" s="246">
        <v>42783</v>
      </c>
      <c r="C362" s="336">
        <v>2351.16</v>
      </c>
      <c r="D362" s="172">
        <f t="shared" si="144"/>
        <v>1.6785814708463864E-3</v>
      </c>
      <c r="E362" s="248">
        <f t="shared" ref="E362" si="152">(C362-$C$2)/$C$2</f>
        <v>0.11830064115979519</v>
      </c>
      <c r="F362" s="249">
        <v>5838.57</v>
      </c>
      <c r="G362" s="172">
        <f t="shared" si="151"/>
        <v>4.0705773100139422E-3</v>
      </c>
      <c r="H362" s="250">
        <f t="shared" ref="H362" si="153">(F362-F$2)/F$2</f>
        <v>0.1466838187638706</v>
      </c>
      <c r="I362" s="566">
        <v>324795.14</v>
      </c>
      <c r="J362" s="252">
        <v>300000</v>
      </c>
      <c r="K362" s="252">
        <f t="shared" ref="K362" si="154">I362-I361-J362+J361</f>
        <v>702.75</v>
      </c>
      <c r="L362" s="172">
        <f t="shared" si="135"/>
        <v>2.1683631633559798E-3</v>
      </c>
      <c r="M362" s="599">
        <f t="shared" ref="M362" si="155">I362-J362</f>
        <v>24795.140000000014</v>
      </c>
      <c r="N362" s="254">
        <f t="shared" ref="N362" si="156">M362/J362</f>
        <v>8.2650466666666714E-2</v>
      </c>
      <c r="O362" s="253" t="b">
        <f t="shared" ref="O362" si="157">L362&gt;D362</f>
        <v>1</v>
      </c>
      <c r="P362" s="254">
        <f>COUNTIF(O$2:O362, TRUE)/(COUNTIF(O$2:O362,FALSE) + COUNTIF(O$2:O362, TRUE))</f>
        <v>0.48753462603878117</v>
      </c>
      <c r="Q362" s="252">
        <v>278866.34999999998</v>
      </c>
      <c r="R362" s="252">
        <f t="shared" ref="R362" si="158">I362-Q362</f>
        <v>45928.790000000037</v>
      </c>
      <c r="S362" s="252">
        <v>-28366</v>
      </c>
      <c r="T362" s="252">
        <f t="shared" ref="T362" si="159">M362-S362</f>
        <v>53161.140000000014</v>
      </c>
      <c r="U362" s="254">
        <f>STDEV(D$2:D362)*SQRT(252)</f>
        <v>0.15866184861852722</v>
      </c>
      <c r="V362" s="254">
        <f>STDEV(L$2:L362)*SQRT(252)</f>
        <v>0.34416833184520351</v>
      </c>
      <c r="W362" s="253">
        <f t="shared" ref="W362" si="160">N362/V362</f>
        <v>0.2401454724888529</v>
      </c>
    </row>
    <row r="363" spans="2:23" ht="20.100000000000001" customHeight="1" x14ac:dyDescent="0.25">
      <c r="B363" s="173">
        <v>42787</v>
      </c>
      <c r="C363" s="217">
        <v>2365.38</v>
      </c>
      <c r="D363" s="172">
        <f t="shared" si="144"/>
        <v>6.048078395345385E-3</v>
      </c>
      <c r="E363" s="211">
        <f t="shared" ref="E363" si="161">(C363-$C$2)/$C$2</f>
        <v>0.12506421110709465</v>
      </c>
      <c r="F363" s="221">
        <v>5865.94</v>
      </c>
      <c r="G363" s="172">
        <f t="shared" si="151"/>
        <v>4.6877917024202662E-3</v>
      </c>
      <c r="H363" s="205">
        <f t="shared" ref="H363" si="162">(F363-F$2)/F$2</f>
        <v>0.15205923365477145</v>
      </c>
      <c r="I363" s="223">
        <v>327591.99</v>
      </c>
      <c r="J363" s="174">
        <v>300000</v>
      </c>
      <c r="K363" s="174">
        <f t="shared" ref="K363" si="163">I363-I362-J363+J362</f>
        <v>2796.8499999999767</v>
      </c>
      <c r="L363" s="172">
        <f t="shared" si="135"/>
        <v>8.6111202279688555E-3</v>
      </c>
      <c r="M363" s="184">
        <f t="shared" ref="M363" si="164">I363-J363</f>
        <v>27591.989999999991</v>
      </c>
      <c r="N363" s="186">
        <f t="shared" ref="N363" si="165">M363/J363</f>
        <v>9.1973299999999966E-2</v>
      </c>
      <c r="O363" s="184" t="b">
        <f t="shared" ref="O363" si="166">L363&gt;D363</f>
        <v>1</v>
      </c>
      <c r="P363" s="186">
        <f>COUNTIF(O$2:O363, TRUE)/(COUNTIF(O$2:O363,FALSE) + COUNTIF(O$2:O363, TRUE))</f>
        <v>0.4889502762430939</v>
      </c>
      <c r="Q363" s="174">
        <v>277216.90000000002</v>
      </c>
      <c r="R363" s="174">
        <f t="shared" ref="R363" si="167">I363-Q363</f>
        <v>50375.089999999967</v>
      </c>
      <c r="S363" s="174">
        <v>-27825</v>
      </c>
      <c r="T363" s="174">
        <f t="shared" ref="T363" si="168">M363-S363</f>
        <v>55416.989999999991</v>
      </c>
      <c r="U363" s="186">
        <f>STDEV(D$2:D363)*SQRT(252)</f>
        <v>0.15851258059839493</v>
      </c>
      <c r="V363" s="186">
        <f>STDEV(L$2:L363)*SQRT(252)</f>
        <v>0.34375388760818432</v>
      </c>
      <c r="W363" s="184">
        <f t="shared" ref="W363" si="169">N363/V363</f>
        <v>0.26755566501354733</v>
      </c>
    </row>
    <row r="364" spans="2:23" ht="20.100000000000001" customHeight="1" x14ac:dyDescent="0.25">
      <c r="B364" s="173">
        <v>42788</v>
      </c>
      <c r="C364" s="217">
        <v>2362.8200000000002</v>
      </c>
      <c r="D364" s="172">
        <f t="shared" ref="D364:D367" si="170">(C364-C363)/C363</f>
        <v>-1.0822785345271986E-3</v>
      </c>
      <c r="E364" s="211">
        <f t="shared" ref="E364" si="171">(C364-$C$2)/$C$2</f>
        <v>0.12384657826144865</v>
      </c>
      <c r="F364" s="221">
        <v>5860.62</v>
      </c>
      <c r="G364" s="172">
        <f t="shared" si="151"/>
        <v>-9.069305175299627E-4</v>
      </c>
      <c r="H364" s="205">
        <f t="shared" ref="H364" si="172">(F364-F$2)/F$2</f>
        <v>0.15101439597776775</v>
      </c>
      <c r="I364" s="223">
        <v>323529.21999999997</v>
      </c>
      <c r="J364" s="174">
        <v>300000</v>
      </c>
      <c r="K364" s="174">
        <f t="shared" ref="K364" si="173">I364-I363-J364+J363</f>
        <v>-4062.7700000000186</v>
      </c>
      <c r="L364" s="172">
        <f t="shared" si="135"/>
        <v>-1.2401921060402053E-2</v>
      </c>
      <c r="M364" s="184">
        <f t="shared" ref="M364" si="174">I364-J364</f>
        <v>23529.219999999972</v>
      </c>
      <c r="N364" s="186">
        <f t="shared" ref="N364" si="175">M364/J364</f>
        <v>7.8430733333333238E-2</v>
      </c>
      <c r="O364" s="184" t="b">
        <f t="shared" ref="O364" si="176">L364&gt;D364</f>
        <v>0</v>
      </c>
      <c r="P364" s="186">
        <f>COUNTIF(O$2:O364, TRUE)/(COUNTIF(O$2:O364,FALSE) + COUNTIF(O$2:O364, TRUE))</f>
        <v>0.48760330578512395</v>
      </c>
      <c r="Q364" s="174">
        <v>282939</v>
      </c>
      <c r="R364" s="174">
        <f t="shared" ref="R364" si="177">I364-Q364</f>
        <v>40590.219999999972</v>
      </c>
      <c r="S364" s="174">
        <v>-27755</v>
      </c>
      <c r="T364" s="174">
        <f t="shared" ref="T364" si="178">M364-S364</f>
        <v>51284.219999999972</v>
      </c>
      <c r="U364" s="186">
        <f>STDEV(D$2:D364)*SQRT(252)</f>
        <v>0.15829755838348511</v>
      </c>
      <c r="V364" s="186">
        <f>STDEV(L$2:L364)*SQRT(252)</f>
        <v>0.34345146520795911</v>
      </c>
      <c r="W364" s="184">
        <f t="shared" ref="W364" si="179">N364/V364</f>
        <v>0.22836045636271665</v>
      </c>
    </row>
    <row r="365" spans="2:23" ht="20.100000000000001" customHeight="1" x14ac:dyDescent="0.25">
      <c r="B365" s="173">
        <v>42789</v>
      </c>
      <c r="C365" s="217">
        <v>2363.81</v>
      </c>
      <c r="D365" s="172">
        <f t="shared" si="170"/>
        <v>4.1899086684545658E-4</v>
      </c>
      <c r="E365" s="211">
        <f t="shared" ref="E365" si="180">(C365-$C$2)/$C$2</f>
        <v>0.12431745971347571</v>
      </c>
      <c r="F365" s="221">
        <v>5835.5</v>
      </c>
      <c r="G365" s="172">
        <f t="shared" si="151"/>
        <v>-4.2862359272568245E-3</v>
      </c>
      <c r="H365" s="205">
        <f t="shared" ref="H365" si="181">(F365-F$2)/F$2</f>
        <v>0.14608087672093803</v>
      </c>
      <c r="I365" s="223">
        <v>324343.32</v>
      </c>
      <c r="J365" s="174">
        <v>300000</v>
      </c>
      <c r="K365" s="174">
        <f t="shared" ref="K365" si="182">I365-I364-J365+J364</f>
        <v>814.10000000003492</v>
      </c>
      <c r="L365" s="172">
        <f t="shared" si="135"/>
        <v>2.5163105823951077E-3</v>
      </c>
      <c r="M365" s="184">
        <f t="shared" ref="M365" si="183">I365-J365</f>
        <v>24343.320000000007</v>
      </c>
      <c r="N365" s="186">
        <f t="shared" ref="N365" si="184">M365/J365</f>
        <v>8.1144400000000019E-2</v>
      </c>
      <c r="O365" s="184" t="b">
        <f t="shared" ref="O365" si="185">L365&gt;D365</f>
        <v>1</v>
      </c>
      <c r="P365" s="186">
        <f>COUNTIF(O$2:O365, TRUE)/(COUNTIF(O$2:O365,FALSE) + COUNTIF(O$2:O365, TRUE))</f>
        <v>0.48901098901098899</v>
      </c>
      <c r="Q365" s="174">
        <v>285337.09999999998</v>
      </c>
      <c r="R365" s="174">
        <f t="shared" ref="R365" si="186">I365-Q365</f>
        <v>39006.22000000003</v>
      </c>
      <c r="S365" s="174">
        <v>-27553</v>
      </c>
      <c r="T365" s="174">
        <f t="shared" ref="T365" si="187">M365-S365</f>
        <v>51896.320000000007</v>
      </c>
      <c r="U365" s="186">
        <f>STDEV(D$2:D365)*SQRT(252)</f>
        <v>0.15807876897869375</v>
      </c>
      <c r="V365" s="186">
        <f>STDEV(L$2:L365)*SQRT(252)</f>
        <v>0.34298022830974206</v>
      </c>
      <c r="W365" s="184">
        <f t="shared" ref="W365" si="188">N365/V365</f>
        <v>0.23658623238981377</v>
      </c>
    </row>
    <row r="366" spans="2:23" ht="20.100000000000001" customHeight="1" x14ac:dyDescent="0.25">
      <c r="B366" s="173">
        <v>42790</v>
      </c>
      <c r="C366" s="217">
        <v>2367.34</v>
      </c>
      <c r="D366" s="172">
        <f t="shared" si="170"/>
        <v>1.4933518345383937E-3</v>
      </c>
      <c r="E366" s="211">
        <f t="shared" ref="E366" si="189">(C366-$C$2)/$C$2</f>
        <v>0.12599646125454239</v>
      </c>
      <c r="F366" s="221">
        <v>5845.3</v>
      </c>
      <c r="G366" s="172">
        <f t="shared" si="151"/>
        <v>1.6793762316854052E-3</v>
      </c>
      <c r="H366" s="205">
        <f t="shared" ref="H366" si="190">(F366-F$2)/F$2</f>
        <v>0.14800557770489237</v>
      </c>
      <c r="I366" s="223">
        <v>322787.92</v>
      </c>
      <c r="J366" s="174">
        <v>300000</v>
      </c>
      <c r="K366" s="174">
        <f t="shared" ref="K366" si="191">I366-I365-J366+J365</f>
        <v>-1555.4000000000233</v>
      </c>
      <c r="L366" s="172">
        <f t="shared" si="135"/>
        <v>-4.7955357921353929E-3</v>
      </c>
      <c r="M366" s="184">
        <f t="shared" ref="M366" si="192">I366-J366</f>
        <v>22787.919999999984</v>
      </c>
      <c r="N366" s="186">
        <f t="shared" ref="N366" si="193">M366/J366</f>
        <v>7.5959733333333279E-2</v>
      </c>
      <c r="O366" s="184" t="b">
        <f t="shared" ref="O366" si="194">L366&gt;D366</f>
        <v>0</v>
      </c>
      <c r="P366" s="186">
        <f>COUNTIF(O$2:O366, TRUE)/(COUNTIF(O$2:O366,FALSE) + COUNTIF(O$2:O366, TRUE))</f>
        <v>0.48767123287671232</v>
      </c>
      <c r="Q366" s="174">
        <v>281387.75</v>
      </c>
      <c r="R366" s="174">
        <f t="shared" ref="R366" si="195">I366-Q366</f>
        <v>41400.169999999984</v>
      </c>
      <c r="S366" s="174">
        <v>-27481</v>
      </c>
      <c r="T366" s="174">
        <f t="shared" ref="T366" si="196">M366-S366</f>
        <v>50268.919999999984</v>
      </c>
      <c r="U366" s="186">
        <f>STDEV(D$2:D366)*SQRT(252)</f>
        <v>0.1578636357935907</v>
      </c>
      <c r="V366" s="186">
        <f>STDEV(L$2:L366)*SQRT(252)</f>
        <v>0.34253765890970073</v>
      </c>
      <c r="W366" s="184">
        <f t="shared" ref="W366" si="197">N366/V366</f>
        <v>0.22175586058220148</v>
      </c>
    </row>
    <row r="367" spans="2:23" ht="20.100000000000001" customHeight="1" x14ac:dyDescent="0.25">
      <c r="B367" s="246">
        <v>42793</v>
      </c>
      <c r="C367" s="336">
        <v>2369.75</v>
      </c>
      <c r="D367" s="172">
        <f t="shared" si="170"/>
        <v>1.0180202252316332E-3</v>
      </c>
      <c r="E367" s="248">
        <f t="shared" ref="E367" si="198">(C367-$C$2)/$C$2</f>
        <v>0.12714274842563875</v>
      </c>
      <c r="F367" s="249">
        <v>5861.89</v>
      </c>
      <c r="G367" s="172">
        <f t="shared" si="151"/>
        <v>2.8381776812139918E-3</v>
      </c>
      <c r="H367" s="250">
        <f t="shared" ref="H367" si="199">(F367-F$2)/F$2</f>
        <v>0.15126382151344356</v>
      </c>
      <c r="I367" s="566">
        <v>323797.27</v>
      </c>
      <c r="J367" s="252">
        <v>300000</v>
      </c>
      <c r="K367" s="252">
        <f t="shared" ref="K367" si="200">I367-I366-J367+J366</f>
        <v>1009.3500000000349</v>
      </c>
      <c r="L367" s="172">
        <f t="shared" si="135"/>
        <v>3.126975755474477E-3</v>
      </c>
      <c r="M367" s="599">
        <f t="shared" ref="M367" si="201">I367-J367</f>
        <v>23797.270000000019</v>
      </c>
      <c r="N367" s="254">
        <f t="shared" ref="N367" si="202">M367/J367</f>
        <v>7.9324233333333397E-2</v>
      </c>
      <c r="O367" s="253" t="b">
        <f t="shared" ref="O367" si="203">L367&gt;D367</f>
        <v>1</v>
      </c>
      <c r="P367" s="254">
        <f>COUNTIF(O$2:O367, TRUE)/(COUNTIF(O$2:O367,FALSE) + COUNTIF(O$2:O367, TRUE))</f>
        <v>0.48907103825136611</v>
      </c>
      <c r="Q367" s="252">
        <v>291059.09999999998</v>
      </c>
      <c r="R367" s="252">
        <f t="shared" ref="R367" si="204">I367-Q367</f>
        <v>32738.170000000042</v>
      </c>
      <c r="S367" s="252">
        <v>-27481</v>
      </c>
      <c r="T367" s="252">
        <f t="shared" ref="T367" si="205">M367-S367</f>
        <v>51278.270000000019</v>
      </c>
      <c r="U367" s="254">
        <f>STDEV(D$2:D367)*SQRT(252)</f>
        <v>0.15764754565745331</v>
      </c>
      <c r="V367" s="254">
        <f>STDEV(L$2:L367)*SQRT(252)</f>
        <v>0.34207298681396164</v>
      </c>
      <c r="W367" s="253">
        <f t="shared" ref="W367" si="206">N367/V367</f>
        <v>0.23189271410219345</v>
      </c>
    </row>
    <row r="368" spans="2:23" ht="20.100000000000001" customHeight="1" x14ac:dyDescent="0.25">
      <c r="B368" s="246">
        <v>42794</v>
      </c>
      <c r="C368" s="336">
        <v>2363.64</v>
      </c>
      <c r="D368" s="172">
        <f t="shared" ref="D368" si="207">(C368-C367)/C367</f>
        <v>-2.5783310475789123E-3</v>
      </c>
      <c r="E368" s="248">
        <f t="shared" ref="E368" si="208">(C368-$C$2)/$C$2</f>
        <v>0.1242366012823195</v>
      </c>
      <c r="F368" s="249">
        <v>5825.43</v>
      </c>
      <c r="G368" s="172">
        <f t="shared" ref="G368" si="209">(F368-F367)/F367</f>
        <v>-6.2198369467867934E-3</v>
      </c>
      <c r="H368" s="250">
        <f t="shared" ref="H368" si="210">(F368-F$2)/F$2</f>
        <v>0.14410314826089529</v>
      </c>
      <c r="I368" s="665">
        <v>320573.07</v>
      </c>
      <c r="J368" s="252">
        <v>300000</v>
      </c>
      <c r="K368" s="252">
        <f t="shared" ref="K368" si="211">I368-I367-J368+J367</f>
        <v>-3224.2000000000116</v>
      </c>
      <c r="L368" s="172">
        <f t="shared" si="135"/>
        <v>-9.9574650521297211E-3</v>
      </c>
      <c r="M368" s="419">
        <f t="shared" ref="M368" si="212">I368-J368</f>
        <v>20573.070000000007</v>
      </c>
      <c r="N368" s="254">
        <f t="shared" ref="N368" si="213">M368/J368</f>
        <v>6.8576900000000024E-2</v>
      </c>
      <c r="O368" s="253" t="b">
        <f t="shared" ref="O368" si="214">L368&gt;D368</f>
        <v>0</v>
      </c>
      <c r="P368" s="254">
        <f>COUNTIF(O$2:O368, TRUE)/(COUNTIF(O$2:O368,FALSE) + COUNTIF(O$2:O368, TRUE))</f>
        <v>0.4877384196185286</v>
      </c>
      <c r="Q368" s="252">
        <v>291060.09999999998</v>
      </c>
      <c r="R368" s="252">
        <f t="shared" ref="R368" si="215">I368-Q368</f>
        <v>29512.97000000003</v>
      </c>
      <c r="S368" s="252">
        <v>-28947</v>
      </c>
      <c r="T368" s="252">
        <f t="shared" ref="T368" si="216">M368-S368</f>
        <v>49520.070000000007</v>
      </c>
      <c r="U368" s="254">
        <f>STDEV(D$2:D368)*SQRT(252)</f>
        <v>0.15745054015923535</v>
      </c>
      <c r="V368" s="254">
        <f>STDEV(L$2:L368)*SQRT(252)</f>
        <v>0.34171768375155076</v>
      </c>
      <c r="W368" s="253">
        <f t="shared" ref="W368" si="217">N368/V368</f>
        <v>0.20068291241801681</v>
      </c>
    </row>
    <row r="369" spans="1:23" ht="20.100000000000001" customHeight="1" x14ac:dyDescent="0.25">
      <c r="B369" s="246">
        <v>42795</v>
      </c>
      <c r="C369" s="336">
        <v>2395.96</v>
      </c>
      <c r="D369" s="172">
        <f t="shared" ref="D369:D377" si="218">(C369-C368)/C368</f>
        <v>1.3673825117192197E-2</v>
      </c>
      <c r="E369" s="248">
        <f t="shared" ref="E369" si="219">(C369-$C$2)/$C$2</f>
        <v>0.13960921595860046</v>
      </c>
      <c r="F369" s="249">
        <v>5904.02</v>
      </c>
      <c r="G369" s="172">
        <f t="shared" ref="G369:G382" si="220">(F369-F368)/F368</f>
        <v>1.3490849602518637E-2</v>
      </c>
      <c r="H369" s="250">
        <f t="shared" ref="H369" si="221">(F369-F$2)/F$2</f>
        <v>0.1595380717638511</v>
      </c>
      <c r="I369" s="566">
        <v>325744.14</v>
      </c>
      <c r="J369" s="252">
        <v>300000</v>
      </c>
      <c r="K369" s="252">
        <f t="shared" ref="K369" si="222">I369-I368-J369+J368</f>
        <v>5171.070000000007</v>
      </c>
      <c r="L369" s="172">
        <f t="shared" si="135"/>
        <v>1.613070617566225E-2</v>
      </c>
      <c r="M369" s="599">
        <f t="shared" ref="M369" si="223">I369-J369</f>
        <v>25744.140000000014</v>
      </c>
      <c r="N369" s="254">
        <f t="shared" ref="N369" si="224">M369/J369</f>
        <v>8.5813800000000051E-2</v>
      </c>
      <c r="O369" s="253" t="b">
        <f t="shared" ref="O369" si="225">L369&gt;D369</f>
        <v>1</v>
      </c>
      <c r="P369" s="254">
        <f>COUNTIF(O$2:O369, TRUE)/(COUNTIF(O$2:O369,FALSE) + COUNTIF(O$2:O369, TRUE))</f>
        <v>0.4891304347826087</v>
      </c>
      <c r="Q369" s="252">
        <v>291563.05</v>
      </c>
      <c r="R369" s="252">
        <f t="shared" ref="R369" si="226">I369-Q369</f>
        <v>34181.090000000026</v>
      </c>
      <c r="S369" s="252">
        <v>-28845</v>
      </c>
      <c r="T369" s="252">
        <f t="shared" ref="T369" si="227">M369-S369</f>
        <v>54589.140000000014</v>
      </c>
      <c r="U369" s="254">
        <f>STDEV(D$2:D369)*SQRT(252)</f>
        <v>0.15762134629623176</v>
      </c>
      <c r="V369" s="254">
        <f>STDEV(L$2:L369)*SQRT(252)</f>
        <v>0.34149211977878058</v>
      </c>
      <c r="W369" s="253">
        <f t="shared" ref="W369" si="228">N369/V369</f>
        <v>0.25129071808623415</v>
      </c>
    </row>
    <row r="370" spans="1:23" ht="20.100000000000001" customHeight="1" x14ac:dyDescent="0.25">
      <c r="B370" s="246">
        <v>42796</v>
      </c>
      <c r="C370" s="336">
        <v>2381.92</v>
      </c>
      <c r="D370" s="172">
        <f t="shared" si="218"/>
        <v>-5.8598641045760208E-3</v>
      </c>
      <c r="E370" s="248">
        <f t="shared" ref="E370" si="229">(C370-$C$2)/$C$2</f>
        <v>0.13293126082076065</v>
      </c>
      <c r="F370" s="249">
        <v>5861.22</v>
      </c>
      <c r="G370" s="172">
        <f t="shared" si="220"/>
        <v>-7.2492979359826317E-3</v>
      </c>
      <c r="H370" s="250">
        <f t="shared" ref="H370" si="230">(F370-F$2)/F$2</f>
        <v>0.15113223481352014</v>
      </c>
      <c r="I370" s="566">
        <v>374005.77</v>
      </c>
      <c r="J370" s="252">
        <v>350000</v>
      </c>
      <c r="K370" s="252">
        <f t="shared" ref="K370" si="231">I370-I369-J370+J369</f>
        <v>-1738.3699999999953</v>
      </c>
      <c r="L370" s="172">
        <f t="shared" si="135"/>
        <v>-5.3366117345963471E-3</v>
      </c>
      <c r="M370" s="599">
        <f t="shared" ref="M370" si="232">I370-J370</f>
        <v>24005.770000000019</v>
      </c>
      <c r="N370" s="254">
        <f t="shared" ref="N370" si="233">M370/J370</f>
        <v>6.8587914285714341E-2</v>
      </c>
      <c r="O370" s="253" t="b">
        <f t="shared" ref="O370" si="234">L370&gt;D370</f>
        <v>1</v>
      </c>
      <c r="P370" s="254">
        <f>COUNTIF(O$2:O370, TRUE)/(COUNTIF(O$2:O370,FALSE) + COUNTIF(O$2:O370, TRUE))</f>
        <v>0.49051490514905149</v>
      </c>
      <c r="Q370" s="252">
        <v>304393.15000000002</v>
      </c>
      <c r="R370" s="252">
        <f t="shared" ref="R370" si="235">I370-Q370</f>
        <v>69612.62</v>
      </c>
      <c r="S370" s="252">
        <v>-27836</v>
      </c>
      <c r="T370" s="252">
        <f t="shared" ref="T370" si="236">M370-S370</f>
        <v>51841.770000000019</v>
      </c>
      <c r="U370" s="254">
        <f>STDEV(D$2:D370)*SQRT(252)</f>
        <v>0.15749181284138711</v>
      </c>
      <c r="V370" s="254">
        <f>STDEV(L$2:L370)*SQRT(252)</f>
        <v>0.34106282769709534</v>
      </c>
      <c r="W370" s="253">
        <f t="shared" ref="W370" si="237">N370/V370</f>
        <v>0.2011005266942448</v>
      </c>
    </row>
    <row r="371" spans="1:23" ht="20.100000000000001" customHeight="1" x14ac:dyDescent="0.25">
      <c r="B371" s="246">
        <v>42797</v>
      </c>
      <c r="C371" s="336">
        <v>2383.12</v>
      </c>
      <c r="D371" s="172">
        <f t="shared" si="218"/>
        <v>5.0379525760723201E-4</v>
      </c>
      <c r="E371" s="248">
        <f t="shared" ref="E371" si="238">(C371-$C$2)/$C$2</f>
        <v>0.13350202621715712</v>
      </c>
      <c r="F371" s="249">
        <v>5870.75</v>
      </c>
      <c r="G371" s="172">
        <f t="shared" si="220"/>
        <v>1.6259413569188232E-3</v>
      </c>
      <c r="H371" s="250">
        <f t="shared" ref="H371" si="239">(F371-F$2)/F$2</f>
        <v>0.15300390832138583</v>
      </c>
      <c r="I371" s="566">
        <v>372756.96</v>
      </c>
      <c r="J371" s="252">
        <v>350000</v>
      </c>
      <c r="K371" s="252">
        <f t="shared" ref="K371" si="240">I371-I370-J371+J370</f>
        <v>-1248.8099999999977</v>
      </c>
      <c r="L371" s="172">
        <f t="shared" si="135"/>
        <v>-3.3390126574785132E-3</v>
      </c>
      <c r="M371" s="599">
        <f t="shared" ref="M371" si="241">I371-J371</f>
        <v>22756.960000000021</v>
      </c>
      <c r="N371" s="254">
        <f t="shared" ref="N371" si="242">M371/J371</f>
        <v>6.5019885714285769E-2</v>
      </c>
      <c r="O371" s="253" t="b">
        <f t="shared" ref="O371" si="243">L371&gt;D371</f>
        <v>0</v>
      </c>
      <c r="P371" s="254">
        <f>COUNTIF(O$2:O371, TRUE)/(COUNTIF(O$2:O371,FALSE) + COUNTIF(O$2:O371, TRUE))</f>
        <v>0.48918918918918919</v>
      </c>
      <c r="Q371" s="252">
        <v>303942.95</v>
      </c>
      <c r="R371" s="252">
        <f t="shared" ref="R371" si="244">I371-Q371</f>
        <v>68814.010000000009</v>
      </c>
      <c r="S371" s="252">
        <v>-28592</v>
      </c>
      <c r="T371" s="252">
        <f t="shared" ref="T371" si="245">M371-S371</f>
        <v>51348.960000000021</v>
      </c>
      <c r="U371" s="254">
        <f>STDEV(D$2:D371)*SQRT(252)</f>
        <v>0.15727771285381495</v>
      </c>
      <c r="V371" s="254">
        <f>STDEV(L$2:L371)*SQRT(252)</f>
        <v>0.34061512766334867</v>
      </c>
      <c r="W371" s="253">
        <f t="shared" ref="W371" si="246">N371/V371</f>
        <v>0.19088960070660457</v>
      </c>
    </row>
    <row r="372" spans="1:23" ht="20.100000000000001" customHeight="1" x14ac:dyDescent="0.25">
      <c r="B372" s="173">
        <v>42800</v>
      </c>
      <c r="C372" s="217">
        <v>2375.31</v>
      </c>
      <c r="D372" s="172">
        <f t="shared" si="218"/>
        <v>-3.2772164221692344E-3</v>
      </c>
      <c r="E372" s="211">
        <f t="shared" ref="E372" si="247">(C372-$C$2)/$C$2</f>
        <v>0.12978729476227616</v>
      </c>
      <c r="F372" s="221">
        <v>5849.17</v>
      </c>
      <c r="G372" s="172">
        <f t="shared" si="220"/>
        <v>-3.6758506153387431E-3</v>
      </c>
      <c r="H372" s="205">
        <f t="shared" ref="H372" si="248">(F372-F$2)/F$2</f>
        <v>0.14876563819549468</v>
      </c>
      <c r="I372" s="223">
        <v>373390.96</v>
      </c>
      <c r="J372" s="174">
        <v>350000</v>
      </c>
      <c r="K372" s="174">
        <f t="shared" ref="K372" si="249">I372-I371-J372+J371</f>
        <v>634</v>
      </c>
      <c r="L372" s="172">
        <f t="shared" si="135"/>
        <v>1.7008401399131487E-3</v>
      </c>
      <c r="M372" s="184">
        <f t="shared" ref="M372" si="250">I372-J372</f>
        <v>23390.960000000021</v>
      </c>
      <c r="N372" s="186">
        <f t="shared" ref="N372" si="251">M372/J372</f>
        <v>6.6831314285714344E-2</v>
      </c>
      <c r="O372" s="184" t="b">
        <f t="shared" ref="O372" si="252">L372&gt;D372</f>
        <v>1</v>
      </c>
      <c r="P372" s="186">
        <f>COUNTIF(O$2:O372, TRUE)/(COUNTIF(O$2:O372,FALSE) + COUNTIF(O$2:O372, TRUE))</f>
        <v>0.49056603773584906</v>
      </c>
      <c r="Q372" s="174">
        <v>304576.95</v>
      </c>
      <c r="R372" s="174">
        <f t="shared" ref="R372" si="253">I372-Q372</f>
        <v>68814.010000000009</v>
      </c>
      <c r="S372" s="174">
        <v>-29562</v>
      </c>
      <c r="T372" s="174">
        <f t="shared" ref="T372" si="254">M372-S372</f>
        <v>52952.960000000021</v>
      </c>
      <c r="U372" s="186">
        <f>STDEV(D$2:D372)*SQRT(252)</f>
        <v>0.15709358659899947</v>
      </c>
      <c r="V372" s="186">
        <f>STDEV(L$2:L372)*SQRT(252)</f>
        <v>0.34015438804580067</v>
      </c>
      <c r="W372" s="184">
        <f t="shared" ref="W372" si="255">N372/V372</f>
        <v>0.19647347391183947</v>
      </c>
    </row>
    <row r="373" spans="1:23" ht="20.100000000000001" customHeight="1" x14ac:dyDescent="0.25">
      <c r="B373" s="173">
        <v>42801</v>
      </c>
      <c r="C373" s="217">
        <v>2368.39</v>
      </c>
      <c r="D373" s="172">
        <f t="shared" si="218"/>
        <v>-2.9133039476952789E-3</v>
      </c>
      <c r="E373" s="211">
        <f t="shared" ref="E373" si="256">(C373-$C$2)/$C$2</f>
        <v>0.12649588097638925</v>
      </c>
      <c r="F373" s="221">
        <v>5833.92</v>
      </c>
      <c r="G373" s="172">
        <f t="shared" si="220"/>
        <v>-2.6072075183316609E-3</v>
      </c>
      <c r="H373" s="205">
        <f t="shared" ref="H373" si="257">(F373-F$2)/F$2</f>
        <v>0.14577056778679032</v>
      </c>
      <c r="I373" s="223">
        <v>368594.91</v>
      </c>
      <c r="J373" s="174">
        <v>350000</v>
      </c>
      <c r="K373" s="174">
        <f t="shared" ref="K373" si="258">I373-I372-J373+J372</f>
        <v>-4796.0500000000466</v>
      </c>
      <c r="L373" s="172">
        <f t="shared" si="135"/>
        <v>-1.2844579847353686E-2</v>
      </c>
      <c r="M373" s="184">
        <f t="shared" ref="M373" si="259">I373-J373</f>
        <v>18594.909999999974</v>
      </c>
      <c r="N373" s="186">
        <f t="shared" ref="N373" si="260">M373/J373</f>
        <v>5.3128314285714212E-2</v>
      </c>
      <c r="O373" s="184" t="b">
        <f t="shared" ref="O373" si="261">L373&gt;D373</f>
        <v>0</v>
      </c>
      <c r="P373" s="186">
        <f>COUNTIF(O$2:O373, TRUE)/(COUNTIF(O$2:O373,FALSE) + COUNTIF(O$2:O373, TRUE))</f>
        <v>0.489247311827957</v>
      </c>
      <c r="Q373" s="174">
        <v>299780.90000000002</v>
      </c>
      <c r="R373" s="174">
        <f t="shared" ref="R373" si="262">I373-Q373</f>
        <v>68814.009999999951</v>
      </c>
      <c r="S373" s="174">
        <v>-31802</v>
      </c>
      <c r="T373" s="174">
        <f t="shared" ref="T373" si="263">M373-S373</f>
        <v>50396.909999999974</v>
      </c>
      <c r="U373" s="186">
        <f>STDEV(D$2:D373)*SQRT(252)</f>
        <v>0.15690461195475305</v>
      </c>
      <c r="V373" s="186">
        <f>STDEV(L$2:L373)*SQRT(252)</f>
        <v>0.3398764241842348</v>
      </c>
      <c r="W373" s="184">
        <f t="shared" ref="W373" si="264">N373/V373</f>
        <v>0.15631656244834227</v>
      </c>
    </row>
    <row r="374" spans="1:23" ht="20.100000000000001" customHeight="1" x14ac:dyDescent="0.25">
      <c r="B374" s="173">
        <v>42802</v>
      </c>
      <c r="C374" s="217">
        <v>2369.39</v>
      </c>
      <c r="D374" s="172">
        <f t="shared" si="218"/>
        <v>4.2222775809727285E-4</v>
      </c>
      <c r="E374" s="211">
        <f t="shared" ref="E374" si="265">(C374-$C$2)/$C$2</f>
        <v>0.12697151880671972</v>
      </c>
      <c r="F374" s="221">
        <v>5834.92</v>
      </c>
      <c r="G374" s="172">
        <f t="shared" si="220"/>
        <v>1.7141133234600405E-4</v>
      </c>
      <c r="H374" s="205">
        <f t="shared" ref="H374" si="266">(F374-F$2)/F$2</f>
        <v>0.1459669658463775</v>
      </c>
      <c r="I374" s="223">
        <v>359694.56</v>
      </c>
      <c r="J374" s="174">
        <v>350000</v>
      </c>
      <c r="K374" s="174">
        <f t="shared" ref="K374" si="267">I374-I373-J374+J373</f>
        <v>-8900.3499999999767</v>
      </c>
      <c r="L374" s="172">
        <f t="shared" si="135"/>
        <v>-2.4146698064821288E-2</v>
      </c>
      <c r="M374" s="184">
        <f t="shared" ref="M374" si="268">I374-J374</f>
        <v>9694.5599999999977</v>
      </c>
      <c r="N374" s="186">
        <f t="shared" ref="N374" si="269">M374/J374</f>
        <v>2.7698742857142852E-2</v>
      </c>
      <c r="O374" s="184" t="b">
        <f t="shared" ref="O374" si="270">L374&gt;D374</f>
        <v>0</v>
      </c>
      <c r="P374" s="186">
        <f>COUNTIF(O$2:O374, TRUE)/(COUNTIF(O$2:O374,FALSE) + COUNTIF(O$2:O374, TRUE))</f>
        <v>0.48793565683646112</v>
      </c>
      <c r="Q374" s="174">
        <v>301406.55</v>
      </c>
      <c r="R374" s="174">
        <f t="shared" ref="R374" si="271">I374-Q374</f>
        <v>58288.010000000009</v>
      </c>
      <c r="S374" s="174">
        <v>-32022</v>
      </c>
      <c r="T374" s="174">
        <f t="shared" ref="T374" si="272">M374-S374</f>
        <v>41716.559999999998</v>
      </c>
      <c r="U374" s="186">
        <f>STDEV(D$2:D374)*SQRT(252)</f>
        <v>0.1566930134881471</v>
      </c>
      <c r="V374" s="186">
        <f>STDEV(L$2:L374)*SQRT(252)</f>
        <v>0.34002930219024635</v>
      </c>
      <c r="W374" s="184">
        <f t="shared" ref="W374" si="273">N374/V374</f>
        <v>8.1459870307428406E-2</v>
      </c>
    </row>
    <row r="375" spans="1:23" ht="20.100000000000001" customHeight="1" x14ac:dyDescent="0.25">
      <c r="B375" s="173">
        <v>42803</v>
      </c>
      <c r="C375" s="217">
        <v>2364.87</v>
      </c>
      <c r="D375" s="172">
        <f t="shared" si="218"/>
        <v>-1.9076639979066267E-3</v>
      </c>
      <c r="E375" s="211">
        <f t="shared" ref="E375" si="274">(C375-$C$2)/$C$2</f>
        <v>0.12482163581362599</v>
      </c>
      <c r="F375" s="221">
        <v>5838.8</v>
      </c>
      <c r="G375" s="172">
        <f t="shared" si="220"/>
        <v>6.6496198748228067E-4</v>
      </c>
      <c r="H375" s="205">
        <f t="shared" ref="H375" si="275">(F375-F$2)/F$2</f>
        <v>0.14672899031757575</v>
      </c>
      <c r="I375" s="223">
        <v>368952.54</v>
      </c>
      <c r="J375" s="174">
        <v>350000</v>
      </c>
      <c r="K375" s="174">
        <f t="shared" ref="K375" si="276">I375-I374-J375+J374</f>
        <v>9257.9799999999814</v>
      </c>
      <c r="L375" s="172">
        <f t="shared" si="135"/>
        <v>2.573844875496583E-2</v>
      </c>
      <c r="M375" s="184">
        <f t="shared" ref="M375" si="277">I375-J375</f>
        <v>18952.539999999979</v>
      </c>
      <c r="N375" s="186">
        <f t="shared" ref="N375" si="278">M375/J375</f>
        <v>5.4150114285714229E-2</v>
      </c>
      <c r="O375" s="184" t="b">
        <f t="shared" ref="O375" si="279">L375&gt;D375</f>
        <v>1</v>
      </c>
      <c r="P375" s="186">
        <f>COUNTIF(O$2:O375, TRUE)/(COUNTIF(O$2:O375,FALSE) + COUNTIF(O$2:O375, TRUE))</f>
        <v>0.48930481283422461</v>
      </c>
      <c r="Q375" s="174">
        <v>279646.25</v>
      </c>
      <c r="R375" s="174">
        <f t="shared" ref="R375" si="280">I375-Q375</f>
        <v>89306.289999999979</v>
      </c>
      <c r="S375" s="174">
        <v>-32329</v>
      </c>
      <c r="T375" s="174">
        <f t="shared" ref="T375" si="281">M375-S375</f>
        <v>51281.539999999979</v>
      </c>
      <c r="U375" s="186">
        <f>STDEV(D$2:D375)*SQRT(252)</f>
        <v>0.15649345994634845</v>
      </c>
      <c r="V375" s="186">
        <f>STDEV(L$2:L375)*SQRT(252)</f>
        <v>0.34020267972894408</v>
      </c>
      <c r="W375" s="184">
        <f t="shared" ref="W375" si="282">N375/V375</f>
        <v>0.1591701580036296</v>
      </c>
    </row>
    <row r="376" spans="1:23" ht="20.100000000000001" customHeight="1" x14ac:dyDescent="0.25">
      <c r="B376" s="173">
        <v>42804</v>
      </c>
      <c r="C376" s="217">
        <v>2372.6</v>
      </c>
      <c r="D376" s="172">
        <f t="shared" si="218"/>
        <v>3.2686786165835834E-3</v>
      </c>
      <c r="E376" s="211">
        <f t="shared" ref="E376" si="283">(C376-$C$2)/$C$2</f>
        <v>0.12849831624208055</v>
      </c>
      <c r="F376" s="221">
        <v>5861.72</v>
      </c>
      <c r="G376" s="172">
        <f t="shared" si="220"/>
        <v>3.9254641364664094E-3</v>
      </c>
      <c r="H376" s="205">
        <f t="shared" ref="H376" si="284">(F376-F$2)/F$2</f>
        <v>0.15123043384331372</v>
      </c>
      <c r="I376" s="223">
        <v>320075.84000000003</v>
      </c>
      <c r="J376" s="174">
        <v>300000</v>
      </c>
      <c r="K376" s="174">
        <f t="shared" ref="K376" si="285">I376-I375-J376+J375</f>
        <v>1123.3000000000466</v>
      </c>
      <c r="L376" s="172">
        <f t="shared" si="135"/>
        <v>3.0445650272526831E-3</v>
      </c>
      <c r="M376" s="184">
        <f t="shared" ref="M376" si="286">I376-J376</f>
        <v>20075.840000000026</v>
      </c>
      <c r="N376" s="186">
        <f t="shared" ref="N376" si="287">M376/J376</f>
        <v>6.6919466666666746E-2</v>
      </c>
      <c r="O376" s="184" t="b">
        <f t="shared" ref="O376" si="288">L376&gt;D376</f>
        <v>0</v>
      </c>
      <c r="P376" s="186">
        <f>COUNTIF(O$2:O376, TRUE)/(COUNTIF(O$2:O376,FALSE) + COUNTIF(O$2:O376, TRUE))</f>
        <v>0.48799999999999999</v>
      </c>
      <c r="Q376" s="174">
        <v>269279.3</v>
      </c>
      <c r="R376" s="174">
        <f t="shared" ref="R376" si="289">I376-Q376</f>
        <v>50796.540000000037</v>
      </c>
      <c r="S376" s="174">
        <v>-32569</v>
      </c>
      <c r="T376" s="174">
        <f t="shared" ref="T376" si="290">M376-S376</f>
        <v>52644.840000000026</v>
      </c>
      <c r="U376" s="186">
        <f>STDEV(D$2:D376)*SQRT(252)</f>
        <v>0.15630173237062933</v>
      </c>
      <c r="V376" s="186">
        <f>STDEV(L$2:L376)*SQRT(252)</f>
        <v>0.33975219328051109</v>
      </c>
      <c r="W376" s="184">
        <f t="shared" ref="W376" si="291">N376/V376</f>
        <v>0.19696551778082486</v>
      </c>
    </row>
    <row r="377" spans="1:23" ht="20.100000000000001" customHeight="1" x14ac:dyDescent="0.25">
      <c r="B377" s="246">
        <v>42807</v>
      </c>
      <c r="C377" s="336">
        <v>2373.4699999999998</v>
      </c>
      <c r="D377" s="172">
        <f t="shared" si="218"/>
        <v>3.6668633566546864E-4</v>
      </c>
      <c r="E377" s="248">
        <f t="shared" ref="E377" si="292">(C377-$C$2)/$C$2</f>
        <v>0.12891212115446801</v>
      </c>
      <c r="F377" s="249">
        <v>5875.78</v>
      </c>
      <c r="G377" s="172">
        <f t="shared" si="220"/>
        <v>2.3986133762785478E-3</v>
      </c>
      <c r="H377" s="250">
        <f t="shared" ref="H377" si="293">(F377-F$2)/F$2</f>
        <v>0.15399179056110926</v>
      </c>
      <c r="I377" s="566">
        <v>317453.64</v>
      </c>
      <c r="J377" s="252">
        <v>300000</v>
      </c>
      <c r="K377" s="252">
        <f t="shared" ref="K377" si="294">I377-I376-J377+J376</f>
        <v>-2622.2000000000116</v>
      </c>
      <c r="L377" s="172">
        <f t="shared" si="135"/>
        <v>-8.1924333932858265E-3</v>
      </c>
      <c r="M377" s="599">
        <f t="shared" ref="M377" si="295">I377-J377</f>
        <v>17453.640000000014</v>
      </c>
      <c r="N377" s="254">
        <f t="shared" ref="N377" si="296">M377/J377</f>
        <v>5.8178800000000044E-2</v>
      </c>
      <c r="O377" s="253" t="b">
        <f t="shared" ref="O377" si="297">L377&gt;D377</f>
        <v>0</v>
      </c>
      <c r="P377" s="254">
        <f>COUNTIF(O$2:O377, TRUE)/(COUNTIF(O$2:O377,FALSE) + COUNTIF(O$2:O377, TRUE))</f>
        <v>0.48670212765957449</v>
      </c>
      <c r="Q377" s="252">
        <v>266657.09999999998</v>
      </c>
      <c r="R377" s="252">
        <f t="shared" ref="R377" si="298">I377-Q377</f>
        <v>50796.540000000037</v>
      </c>
      <c r="S377" s="252">
        <v>-33037</v>
      </c>
      <c r="T377" s="252">
        <f t="shared" ref="T377" si="299">M377-S377</f>
        <v>50490.640000000014</v>
      </c>
      <c r="U377" s="254">
        <f>STDEV(D$2:D377)*SQRT(252)</f>
        <v>0.15609263301968265</v>
      </c>
      <c r="V377" s="254">
        <f>STDEV(L$2:L377)*SQRT(252)</f>
        <v>0.33937458902110801</v>
      </c>
      <c r="W377" s="253">
        <f t="shared" ref="W377" si="300">N377/V377</f>
        <v>0.1714294525344722</v>
      </c>
    </row>
    <row r="378" spans="1:23" ht="20.100000000000001" customHeight="1" x14ac:dyDescent="0.25">
      <c r="B378" s="246">
        <v>42808</v>
      </c>
      <c r="C378" s="336">
        <v>2365.4499999999998</v>
      </c>
      <c r="D378" s="172">
        <f t="shared" ref="D378:D382" si="301">(C378-C377)/C377</f>
        <v>-3.3790189048102494E-3</v>
      </c>
      <c r="E378" s="248">
        <f t="shared" ref="E378" si="302">(C378-$C$2)/$C$2</f>
        <v>0.12509750575521764</v>
      </c>
      <c r="F378" s="249">
        <v>5856.81</v>
      </c>
      <c r="G378" s="172">
        <f t="shared" si="220"/>
        <v>-3.2285075343187366E-3</v>
      </c>
      <c r="H378" s="250">
        <f t="shared" ref="H378" si="303">(F378-F$2)/F$2</f>
        <v>0.15026611937074075</v>
      </c>
      <c r="I378" s="566">
        <v>413367.17</v>
      </c>
      <c r="J378" s="252">
        <v>400000</v>
      </c>
      <c r="K378" s="252">
        <f t="shared" ref="K378" si="304">I378-I377-J378+J377</f>
        <v>-4086.4700000000303</v>
      </c>
      <c r="L378" s="172">
        <f t="shared" si="135"/>
        <v>-1.2872651263346769E-2</v>
      </c>
      <c r="M378" s="599">
        <f t="shared" ref="M378" si="305">I378-J378</f>
        <v>13367.169999999984</v>
      </c>
      <c r="N378" s="254">
        <f t="shared" ref="N378" si="306">M378/J378</f>
        <v>3.3417924999999959E-2</v>
      </c>
      <c r="O378" s="253" t="b">
        <f t="shared" ref="O378" si="307">L378&gt;D378</f>
        <v>0</v>
      </c>
      <c r="P378" s="254">
        <f>COUNTIF(O$2:O378, TRUE)/(COUNTIF(O$2:O378,FALSE) + COUNTIF(O$2:O378, TRUE))</f>
        <v>0.48541114058355439</v>
      </c>
      <c r="Q378" s="252">
        <v>277189.8</v>
      </c>
      <c r="R378" s="252">
        <f t="shared" ref="R378" si="308">I378-Q378</f>
        <v>136177.37</v>
      </c>
      <c r="S378" s="252">
        <v>-33401</v>
      </c>
      <c r="T378" s="252">
        <f t="shared" ref="T378" si="309">M378-S378</f>
        <v>46768.169999999984</v>
      </c>
      <c r="U378" s="254">
        <f>STDEV(D$2:D378)*SQRT(252)</f>
        <v>0.15591460635897464</v>
      </c>
      <c r="V378" s="254">
        <f>STDEV(L$2:L378)*SQRT(252)</f>
        <v>0.33910114383939616</v>
      </c>
      <c r="W378" s="253">
        <f t="shared" ref="W378" si="310">N378/V378</f>
        <v>9.8548546966350653E-2</v>
      </c>
    </row>
    <row r="379" spans="1:23" ht="20.100000000000001" customHeight="1" x14ac:dyDescent="0.25">
      <c r="B379" s="246">
        <v>42809</v>
      </c>
      <c r="C379" s="336">
        <v>2385.2600000000002</v>
      </c>
      <c r="D379" s="172">
        <f t="shared" si="301"/>
        <v>8.3747278530513867E-3</v>
      </c>
      <c r="E379" s="248">
        <f t="shared" ref="E379" si="311">(C379-$C$2)/$C$2</f>
        <v>0.13451989117406449</v>
      </c>
      <c r="F379" s="249">
        <v>5900.04</v>
      </c>
      <c r="G379" s="172">
        <f t="shared" si="220"/>
        <v>7.3811511727373026E-3</v>
      </c>
      <c r="H379" s="250">
        <f t="shared" ref="H379" si="312">(F379-F$2)/F$2</f>
        <v>0.15875640748669406</v>
      </c>
      <c r="I379" s="566">
        <v>417096.77</v>
      </c>
      <c r="J379" s="252">
        <v>400000</v>
      </c>
      <c r="K379" s="252">
        <f t="shared" ref="K379" si="313">I379-I378-J379+J378</f>
        <v>3729.6000000000349</v>
      </c>
      <c r="L379" s="172">
        <f t="shared" si="135"/>
        <v>9.0224871994552328E-3</v>
      </c>
      <c r="M379" s="599">
        <f t="shared" ref="M379" si="314">I379-J379</f>
        <v>17096.770000000019</v>
      </c>
      <c r="N379" s="254">
        <f t="shared" ref="N379:N384" si="315">M379/J379</f>
        <v>4.2741925000000049E-2</v>
      </c>
      <c r="O379" s="253" t="b">
        <f t="shared" ref="O379" si="316">L379&gt;D379</f>
        <v>1</v>
      </c>
      <c r="P379" s="254">
        <f>COUNTIF(O$2:O379, TRUE)/(COUNTIF(O$2:O379,FALSE) + COUNTIF(O$2:O379, TRUE))</f>
        <v>0.48677248677248675</v>
      </c>
      <c r="Q379" s="252">
        <v>272622.8</v>
      </c>
      <c r="R379" s="252">
        <f t="shared" ref="R379" si="317">I379-Q379</f>
        <v>144473.97000000003</v>
      </c>
      <c r="S379" s="252">
        <v>-33400</v>
      </c>
      <c r="T379" s="252">
        <f t="shared" ref="T379" si="318">M379-S379</f>
        <v>50496.770000000019</v>
      </c>
      <c r="U379" s="254">
        <f>STDEV(D$2:D379)*SQRT(252)</f>
        <v>0.15584490061103998</v>
      </c>
      <c r="V379" s="254">
        <f>STDEV(L$2:L379)*SQRT(252)</f>
        <v>0.33872055138052226</v>
      </c>
      <c r="W379" s="253">
        <f t="shared" ref="W379:W384" si="319">N379/V379</f>
        <v>0.12618639414052948</v>
      </c>
    </row>
    <row r="380" spans="1:23" ht="20.100000000000001" customHeight="1" x14ac:dyDescent="0.25">
      <c r="B380" s="246">
        <v>42810</v>
      </c>
      <c r="C380" s="336">
        <v>2381.38</v>
      </c>
      <c r="D380" s="172">
        <f t="shared" si="301"/>
        <v>-1.6266570520614562E-3</v>
      </c>
      <c r="E380" s="248">
        <f t="shared" ref="E380" si="320">(C380-$C$2)/$C$2</f>
        <v>0.1326744163923822</v>
      </c>
      <c r="F380" s="249">
        <v>5900.76</v>
      </c>
      <c r="G380" s="172">
        <f t="shared" si="220"/>
        <v>1.2203307096227393E-4</v>
      </c>
      <c r="H380" s="250">
        <f t="shared" ref="H380" si="321">(F380-F$2)/F$2</f>
        <v>0.15889781408959688</v>
      </c>
      <c r="I380" s="566">
        <v>418538.3</v>
      </c>
      <c r="J380" s="252">
        <v>400000</v>
      </c>
      <c r="K380" s="252">
        <f t="shared" ref="K380" si="322">I380-I379-J380+J379</f>
        <v>1441.5299999999697</v>
      </c>
      <c r="L380" s="172">
        <f t="shared" si="135"/>
        <v>3.4561044431007455E-3</v>
      </c>
      <c r="M380" s="599">
        <f t="shared" ref="M380" si="323">I380-J380</f>
        <v>18538.299999999988</v>
      </c>
      <c r="N380" s="254">
        <f t="shared" si="315"/>
        <v>4.634574999999997E-2</v>
      </c>
      <c r="O380" s="253" t="b">
        <f t="shared" ref="O380" si="324">L380&gt;D380</f>
        <v>1</v>
      </c>
      <c r="P380" s="254">
        <f>COUNTIF(O$2:O380, TRUE)/(COUNTIF(O$2:O380,FALSE) + COUNTIF(O$2:O380, TRUE))</f>
        <v>0.48812664907651715</v>
      </c>
      <c r="Q380" s="252">
        <v>275894.34999999998</v>
      </c>
      <c r="R380" s="252">
        <f t="shared" ref="R380" si="325">I380-Q380</f>
        <v>142643.95000000001</v>
      </c>
      <c r="S380" s="252">
        <v>-31087</v>
      </c>
      <c r="T380" s="252">
        <f t="shared" ref="T380" si="326">M380-S380</f>
        <v>49625.299999999988</v>
      </c>
      <c r="U380" s="254">
        <f>STDEV(D$2:D380)*SQRT(252)</f>
        <v>0.15564672021947359</v>
      </c>
      <c r="V380" s="254">
        <f>STDEV(L$2:L380)*SQRT(252)</f>
        <v>0.33827914909370027</v>
      </c>
      <c r="W380" s="253">
        <f t="shared" si="319"/>
        <v>0.13700445364181349</v>
      </c>
    </row>
    <row r="381" spans="1:23" ht="20.100000000000001" customHeight="1" x14ac:dyDescent="0.25">
      <c r="B381" s="246">
        <v>42811</v>
      </c>
      <c r="C381" s="336">
        <v>2378.25</v>
      </c>
      <c r="D381" s="172">
        <f t="shared" si="301"/>
        <v>-1.3143639402363792E-3</v>
      </c>
      <c r="E381" s="248">
        <f t="shared" ref="E381" si="327">(C381-$C$2)/$C$2</f>
        <v>0.13118566998344777</v>
      </c>
      <c r="F381" s="249">
        <v>5900.99</v>
      </c>
      <c r="G381" s="172">
        <f t="shared" si="220"/>
        <v>3.8978029948610593E-5</v>
      </c>
      <c r="H381" s="250">
        <f t="shared" ref="H381" si="328">(F381-F$2)/F$2</f>
        <v>0.15894298564330184</v>
      </c>
      <c r="I381" s="566">
        <v>417260.19</v>
      </c>
      <c r="J381" s="252">
        <v>400000</v>
      </c>
      <c r="K381" s="252">
        <f t="shared" ref="K381" si="329">I381-I380-J381+J380</f>
        <v>-1278.109999999986</v>
      </c>
      <c r="L381" s="172">
        <f t="shared" si="135"/>
        <v>-3.0537468136129621E-3</v>
      </c>
      <c r="M381" s="599">
        <f t="shared" ref="M381" si="330">I381-J381</f>
        <v>17260.190000000002</v>
      </c>
      <c r="N381" s="254">
        <f t="shared" si="315"/>
        <v>4.3150475000000008E-2</v>
      </c>
      <c r="O381" s="253" t="b">
        <f t="shared" ref="O381" si="331">L381&gt;D381</f>
        <v>0</v>
      </c>
      <c r="P381" s="254">
        <f>COUNTIF(O$2:O381, TRUE)/(COUNTIF(O$2:O381,FALSE) + COUNTIF(O$2:O381, TRUE))</f>
        <v>0.48684210526315791</v>
      </c>
      <c r="Q381" s="252">
        <v>272622.8</v>
      </c>
      <c r="R381" s="252">
        <f t="shared" ref="R381" si="332">I381-Q381</f>
        <v>144637.39000000001</v>
      </c>
      <c r="S381" s="252">
        <v>-31412</v>
      </c>
      <c r="T381" s="252">
        <f t="shared" ref="T381" si="333">M381-S381</f>
        <v>48672.19</v>
      </c>
      <c r="U381" s="254">
        <f>STDEV(D$2:D381)*SQRT(252)</f>
        <v>0.15544682366475293</v>
      </c>
      <c r="V381" s="254">
        <f>STDEV(L$2:L381)*SQRT(252)</f>
        <v>0.33784447155709396</v>
      </c>
      <c r="W381" s="253">
        <f t="shared" si="319"/>
        <v>0.12772289805756909</v>
      </c>
    </row>
    <row r="382" spans="1:23" ht="20.100000000000001" customHeight="1" x14ac:dyDescent="0.25">
      <c r="A382" s="215"/>
      <c r="B382" s="173">
        <v>42814</v>
      </c>
      <c r="C382" s="217">
        <v>2373.4699999999998</v>
      </c>
      <c r="D382" s="172">
        <f t="shared" si="301"/>
        <v>-2.0098812151793126E-3</v>
      </c>
      <c r="E382" s="211">
        <f t="shared" ref="E382" si="334">(C382-$C$2)/$C$2</f>
        <v>0.12891212115446801</v>
      </c>
      <c r="F382" s="221">
        <v>5901.52</v>
      </c>
      <c r="G382" s="172">
        <f t="shared" si="220"/>
        <v>8.9815437748692146E-5</v>
      </c>
      <c r="H382" s="205">
        <f t="shared" ref="H382" si="335">(F382-F$2)/F$2</f>
        <v>0.15904707661488318</v>
      </c>
      <c r="I382" s="223">
        <v>416415.39</v>
      </c>
      <c r="J382" s="174">
        <v>400000</v>
      </c>
      <c r="K382" s="174">
        <f t="shared" ref="K382" si="336">I382-I381-J382+J381</f>
        <v>-844.79999999998836</v>
      </c>
      <c r="L382" s="172">
        <f t="shared" si="135"/>
        <v>-2.0246359951089231E-3</v>
      </c>
      <c r="M382" s="184">
        <f t="shared" ref="M382" si="337">I382-J382</f>
        <v>16415.390000000014</v>
      </c>
      <c r="N382" s="186">
        <f t="shared" si="315"/>
        <v>4.1038475000000033E-2</v>
      </c>
      <c r="O382" s="184" t="b">
        <f t="shared" ref="O382" si="338">L382&gt;D382</f>
        <v>0</v>
      </c>
      <c r="P382" s="186">
        <f>COUNTIF(O$2:O382, TRUE)/(COUNTIF(O$2:O382,FALSE) + COUNTIF(O$2:O382, TRUE))</f>
        <v>0.48556430446194226</v>
      </c>
      <c r="Q382" s="174">
        <v>273908</v>
      </c>
      <c r="R382" s="174">
        <f t="shared" ref="R382" si="339">I382-Q382</f>
        <v>142507.39000000001</v>
      </c>
      <c r="S382" s="174">
        <v>-32614</v>
      </c>
      <c r="T382" s="174">
        <f t="shared" ref="T382" si="340">M382-S382</f>
        <v>49029.390000000014</v>
      </c>
      <c r="U382" s="186">
        <f>STDEV(D$2:D382)*SQRT(252)</f>
        <v>0.15525374064420308</v>
      </c>
      <c r="V382" s="186">
        <f>STDEV(L$2:L382)*SQRT(252)</f>
        <v>0.33740515012051464</v>
      </c>
      <c r="W382" s="184">
        <f t="shared" si="319"/>
        <v>0.1216296638784022</v>
      </c>
    </row>
    <row r="383" spans="1:23" ht="20.100000000000001" customHeight="1" x14ac:dyDescent="0.25">
      <c r="B383" s="173">
        <v>42815</v>
      </c>
      <c r="C383" s="217">
        <v>2344.02</v>
      </c>
      <c r="D383" s="172">
        <f t="shared" ref="D383" si="341">(C383-C382)/C382</f>
        <v>-1.240799335993285E-2</v>
      </c>
      <c r="E383" s="211">
        <f t="shared" ref="E383" si="342">(C383-$C$2)/$C$2</f>
        <v>0.11490458705123567</v>
      </c>
      <c r="F383" s="221">
        <v>5793.82</v>
      </c>
      <c r="G383" s="172">
        <f t="shared" ref="G383:G387" si="343">(F383-F382)/F382</f>
        <v>-1.8249535712833425E-2</v>
      </c>
      <c r="H383" s="205">
        <f t="shared" ref="H383" si="344">(F383-F$2)/F$2</f>
        <v>0.13789500559734469</v>
      </c>
      <c r="I383" s="223">
        <v>411936.49</v>
      </c>
      <c r="J383" s="174">
        <v>400000</v>
      </c>
      <c r="K383" s="174">
        <f t="shared" ref="K383" si="345">I383-I382-J383+J382</f>
        <v>-4478.9000000000233</v>
      </c>
      <c r="L383" s="172">
        <f t="shared" si="135"/>
        <v>-1.0755846463791895E-2</v>
      </c>
      <c r="M383" s="184">
        <f t="shared" ref="M383" si="346">I383-J383</f>
        <v>11936.489999999991</v>
      </c>
      <c r="N383" s="186">
        <f t="shared" si="315"/>
        <v>2.9841224999999978E-2</v>
      </c>
      <c r="O383" s="184" t="b">
        <f t="shared" ref="O383" si="347">L383&gt;D383</f>
        <v>1</v>
      </c>
      <c r="P383" s="186">
        <f>COUNTIF(O$2:O383, TRUE)/(COUNTIF(O$2:O383,FALSE) + COUNTIF(O$2:O383, TRUE))</f>
        <v>0.48691099476439792</v>
      </c>
      <c r="Q383" s="174">
        <v>281359.3</v>
      </c>
      <c r="R383" s="174">
        <f t="shared" ref="R383" si="348">I383-Q383</f>
        <v>130577.19</v>
      </c>
      <c r="S383" s="174">
        <v>-32572</v>
      </c>
      <c r="T383" s="174">
        <f t="shared" ref="T383" si="349">M383-S383</f>
        <v>44508.489999999991</v>
      </c>
      <c r="U383" s="186">
        <f>STDEV(D$2:D383)*SQRT(252)</f>
        <v>0.15539701480265106</v>
      </c>
      <c r="V383" s="186">
        <f>STDEV(L$2:L383)*SQRT(252)</f>
        <v>0.33708689228182726</v>
      </c>
      <c r="W383" s="184">
        <f t="shared" si="319"/>
        <v>8.8526803276143748E-2</v>
      </c>
    </row>
    <row r="384" spans="1:23" ht="20.100000000000001" customHeight="1" x14ac:dyDescent="0.25">
      <c r="B384" s="173">
        <v>42816</v>
      </c>
      <c r="C384" s="217">
        <v>2348.4499999999998</v>
      </c>
      <c r="D384" s="172">
        <f t="shared" ref="D384:D387" si="350">(C384-C383)/C383</f>
        <v>1.8899156150544091E-3</v>
      </c>
      <c r="E384" s="211">
        <f t="shared" ref="E384" si="351">(C384-$C$2)/$C$2</f>
        <v>0.11701166263959958</v>
      </c>
      <c r="F384" s="221">
        <v>5821.64</v>
      </c>
      <c r="G384" s="172">
        <f t="shared" si="343"/>
        <v>4.8016679841625422E-3</v>
      </c>
      <c r="H384" s="205">
        <f t="shared" ref="H384" si="352">(F384-F$2)/F$2</f>
        <v>0.1433587996150599</v>
      </c>
      <c r="I384" s="223">
        <v>410749.09</v>
      </c>
      <c r="J384" s="174">
        <v>400000</v>
      </c>
      <c r="K384" s="174">
        <f t="shared" ref="K384" si="353">I384-I383-J384+J383</f>
        <v>-1187.3999999999651</v>
      </c>
      <c r="L384" s="172">
        <f t="shared" si="135"/>
        <v>-2.8824831711314653E-3</v>
      </c>
      <c r="M384" s="184">
        <f t="shared" ref="M384" si="354">I384-J384</f>
        <v>10749.090000000026</v>
      </c>
      <c r="N384" s="186">
        <f t="shared" si="315"/>
        <v>2.6872725000000063E-2</v>
      </c>
      <c r="O384" s="184" t="b">
        <f t="shared" ref="O384" si="355">L384&gt;D384</f>
        <v>0</v>
      </c>
      <c r="P384" s="186">
        <f>COUNTIF(O$2:O384, TRUE)/(COUNTIF(O$2:O384,FALSE) + COUNTIF(O$2:O384, TRUE))</f>
        <v>0.48563968668407309</v>
      </c>
      <c r="Q384" s="174">
        <v>286091.90000000002</v>
      </c>
      <c r="R384" s="174">
        <f t="shared" ref="R384" si="356">I384-Q384</f>
        <v>124657.19</v>
      </c>
      <c r="S384" s="174">
        <v>-33152</v>
      </c>
      <c r="T384" s="174">
        <f t="shared" ref="T384" si="357">M384-S384</f>
        <v>43901.090000000026</v>
      </c>
      <c r="U384" s="186">
        <f>STDEV(D$2:D384)*SQRT(252)</f>
        <v>0.15519809817215222</v>
      </c>
      <c r="V384" s="186">
        <f>STDEV(L$2:L384)*SQRT(252)</f>
        <v>0.33665574417634986</v>
      </c>
      <c r="W384" s="184">
        <f t="shared" si="319"/>
        <v>7.9822564934235507E-2</v>
      </c>
    </row>
    <row r="385" spans="2:23" ht="20.100000000000001" customHeight="1" x14ac:dyDescent="0.25">
      <c r="B385" s="173">
        <v>42817</v>
      </c>
      <c r="C385" s="217">
        <v>2345.96</v>
      </c>
      <c r="D385" s="172">
        <f t="shared" si="350"/>
        <v>-1.0602737976110974E-3</v>
      </c>
      <c r="E385" s="211">
        <f t="shared" ref="E385" si="358">(C385-$C$2)/$C$2</f>
        <v>0.11582732444207681</v>
      </c>
      <c r="F385" s="221">
        <v>5817.69</v>
      </c>
      <c r="G385" s="172">
        <f t="shared" si="343"/>
        <v>-6.7850296480042173E-4</v>
      </c>
      <c r="H385" s="205">
        <f t="shared" ref="H385" si="359">(F385-F$2)/F$2</f>
        <v>0.14258302727969044</v>
      </c>
      <c r="I385" s="223">
        <v>409192.08</v>
      </c>
      <c r="J385" s="174">
        <v>400000</v>
      </c>
      <c r="K385" s="174">
        <f t="shared" ref="K385" si="360">I385-I384-J385+J384</f>
        <v>-1557.0100000000093</v>
      </c>
      <c r="L385" s="172">
        <f t="shared" si="135"/>
        <v>-3.7906596457706315E-3</v>
      </c>
      <c r="M385" s="184">
        <f t="shared" ref="M385" si="361">I385-J385</f>
        <v>9192.0800000000163</v>
      </c>
      <c r="N385" s="186">
        <f t="shared" ref="N385" si="362">M385/J385</f>
        <v>2.2980200000000041E-2</v>
      </c>
      <c r="O385" s="184" t="b">
        <f t="shared" ref="O385" si="363">L385&gt;D385</f>
        <v>0</v>
      </c>
      <c r="P385" s="186">
        <f>COUNTIF(O$2:O385, TRUE)/(COUNTIF(O$2:O385,FALSE) + COUNTIF(O$2:O385, TRUE))</f>
        <v>0.484375</v>
      </c>
      <c r="Q385" s="174">
        <v>281636.95</v>
      </c>
      <c r="R385" s="174">
        <f t="shared" ref="R385" si="364">I385-Q385</f>
        <v>127555.13</v>
      </c>
      <c r="S385" s="174">
        <v>-33283</v>
      </c>
      <c r="T385" s="174">
        <f t="shared" ref="T385" si="365">M385-S385</f>
        <v>42475.080000000016</v>
      </c>
      <c r="U385" s="186">
        <f>STDEV(D$2:D385)*SQRT(252)</f>
        <v>0.15499897175263969</v>
      </c>
      <c r="V385" s="186">
        <f>STDEV(L$2:L385)*SQRT(252)</f>
        <v>0.336233128166948</v>
      </c>
      <c r="W385" s="184">
        <f t="shared" ref="W385" si="366">N385/V385</f>
        <v>6.8346031592073836E-2</v>
      </c>
    </row>
    <row r="386" spans="2:23" ht="20.100000000000001" customHeight="1" x14ac:dyDescent="0.25">
      <c r="B386" s="173">
        <v>42818</v>
      </c>
      <c r="C386" s="217">
        <v>2343.98</v>
      </c>
      <c r="D386" s="172">
        <f t="shared" si="350"/>
        <v>-8.4400416034374759E-4</v>
      </c>
      <c r="E386" s="211">
        <f t="shared" ref="E386" si="367">(C386-$C$2)/$C$2</f>
        <v>0.11488556153802247</v>
      </c>
      <c r="F386" s="221">
        <v>5828.73</v>
      </c>
      <c r="G386" s="172">
        <f t="shared" si="343"/>
        <v>1.8976604116066624E-3</v>
      </c>
      <c r="H386" s="205">
        <f t="shared" ref="H386" si="368">(F386-F$2)/F$2</f>
        <v>0.14475126185753281</v>
      </c>
      <c r="I386" s="223">
        <v>410959.03</v>
      </c>
      <c r="J386" s="174">
        <v>400000</v>
      </c>
      <c r="K386" s="174">
        <f t="shared" ref="K386" si="369">I386-I385-J386+J385</f>
        <v>1766.9500000000116</v>
      </c>
      <c r="L386" s="172">
        <f t="shared" si="135"/>
        <v>4.3181432055087957E-3</v>
      </c>
      <c r="M386" s="184">
        <f t="shared" ref="M386" si="370">I386-J386</f>
        <v>10959.030000000028</v>
      </c>
      <c r="N386" s="186">
        <f t="shared" ref="N386" si="371">M386/J386</f>
        <v>2.739757500000007E-2</v>
      </c>
      <c r="O386" s="184" t="b">
        <f t="shared" ref="O386" si="372">L386&gt;D386</f>
        <v>1</v>
      </c>
      <c r="P386" s="186">
        <f>COUNTIF(O$2:O386, TRUE)/(COUNTIF(O$2:O386,FALSE) + COUNTIF(O$2:O386, TRUE))</f>
        <v>0.48571428571428571</v>
      </c>
      <c r="Q386" s="174">
        <v>286251.90000000002</v>
      </c>
      <c r="R386" s="174">
        <f t="shared" ref="R386" si="373">I386-Q386</f>
        <v>124707.13</v>
      </c>
      <c r="S386" s="174">
        <v>-32644</v>
      </c>
      <c r="T386" s="174">
        <f t="shared" ref="T386" si="374">M386-S386</f>
        <v>43603.030000000028</v>
      </c>
      <c r="U386" s="186">
        <f>STDEV(D$2:D386)*SQRT(252)</f>
        <v>0.15479943060985338</v>
      </c>
      <c r="V386" s="186">
        <f>STDEV(L$2:L386)*SQRT(252)</f>
        <v>0.33580795162240923</v>
      </c>
      <c r="W386" s="184">
        <f t="shared" ref="W386" si="375">N386/V386</f>
        <v>8.1587034695374275E-2</v>
      </c>
    </row>
    <row r="387" spans="2:23" ht="20.100000000000001" customHeight="1" x14ac:dyDescent="0.25">
      <c r="B387" s="246">
        <v>42821</v>
      </c>
      <c r="C387" s="336">
        <v>2341.59</v>
      </c>
      <c r="D387" s="172">
        <f t="shared" si="350"/>
        <v>-1.0196332733213903E-3</v>
      </c>
      <c r="E387" s="248">
        <f t="shared" ref="E387" si="376">(C387-$C$2)/$C$2</f>
        <v>0.1137487871235327</v>
      </c>
      <c r="F387" s="249">
        <v>5840.37</v>
      </c>
      <c r="G387" s="172">
        <f t="shared" si="343"/>
        <v>1.9970044932601664E-3</v>
      </c>
      <c r="H387" s="250">
        <f t="shared" ref="H387" si="377">(F387-F$2)/F$2</f>
        <v>0.14703733527112753</v>
      </c>
      <c r="I387" s="566">
        <v>411631.08</v>
      </c>
      <c r="J387" s="252">
        <v>400000</v>
      </c>
      <c r="K387" s="252">
        <f t="shared" ref="K387" si="378">I387-I386-J387+J386</f>
        <v>672.04999999998836</v>
      </c>
      <c r="L387" s="172">
        <f t="shared" ref="L387" si="379">K387/I386</f>
        <v>1.6353211657132544E-3</v>
      </c>
      <c r="M387" s="599">
        <f t="shared" ref="M387" si="380">I387-J387</f>
        <v>11631.080000000016</v>
      </c>
      <c r="N387" s="254">
        <f t="shared" ref="N387" si="381">M387/J387</f>
        <v>2.907770000000004E-2</v>
      </c>
      <c r="O387" s="253" t="b">
        <f t="shared" ref="O387" si="382">L387&gt;D387</f>
        <v>1</v>
      </c>
      <c r="P387" s="254">
        <f>COUNTIF(O$2:O387, TRUE)/(COUNTIF(O$2:O387,FALSE) + COUNTIF(O$2:O387, TRUE))</f>
        <v>0.48704663212435234</v>
      </c>
      <c r="Q387" s="252">
        <v>286923.95</v>
      </c>
      <c r="R387" s="252">
        <f t="shared" ref="R387" si="383">I387-Q387</f>
        <v>124707.13</v>
      </c>
      <c r="S387" s="252">
        <v>-32983</v>
      </c>
      <c r="T387" s="252">
        <f t="shared" ref="T387" si="384">M387-S387</f>
        <v>44614.080000000016</v>
      </c>
      <c r="U387" s="254">
        <f>STDEV(D$2:D387)*SQRT(252)</f>
        <v>0.15460159662915288</v>
      </c>
      <c r="V387" s="254">
        <f>STDEV(L$2:L387)*SQRT(252)</f>
        <v>0.33537159778544912</v>
      </c>
      <c r="W387" s="253">
        <f t="shared" ref="W387" si="385">N387/V387</f>
        <v>8.6702929502701143E-2</v>
      </c>
    </row>
    <row r="388" spans="2:23" ht="20.100000000000001" customHeight="1" x14ac:dyDescent="0.25">
      <c r="B388" s="246">
        <v>42822</v>
      </c>
      <c r="C388" s="336">
        <v>2358.5700000000002</v>
      </c>
      <c r="D388" s="172">
        <f t="shared" ref="D388" si="386">(C388-C387)/C387</f>
        <v>7.2514829667021203E-3</v>
      </c>
      <c r="E388" s="248">
        <f t="shared" ref="E388" si="387">(C388-$C$2)/$C$2</f>
        <v>0.12182511748254414</v>
      </c>
      <c r="F388" s="249">
        <v>5875.14</v>
      </c>
      <c r="G388" s="172">
        <f t="shared" ref="G388" si="388">(F388-F387)/F387</f>
        <v>5.9533899393361097E-3</v>
      </c>
      <c r="H388" s="250">
        <f t="shared" ref="H388" si="389">(F388-F$2)/F$2</f>
        <v>0.15386609580297358</v>
      </c>
      <c r="I388" s="566">
        <v>415160.28</v>
      </c>
      <c r="J388" s="252">
        <v>400000</v>
      </c>
      <c r="K388" s="252">
        <f t="shared" ref="K388" si="390">I388-I387-J388+J387</f>
        <v>3529.2000000000116</v>
      </c>
      <c r="L388" s="172">
        <f t="shared" ref="L388:L401" si="391">K388/I387</f>
        <v>8.5736966217420021E-3</v>
      </c>
      <c r="M388" s="599">
        <f t="shared" ref="M388" si="392">I388-J388</f>
        <v>15160.280000000028</v>
      </c>
      <c r="N388" s="254">
        <f t="shared" ref="N388" si="393">M388/J388</f>
        <v>3.7900700000000072E-2</v>
      </c>
      <c r="O388" s="253" t="b">
        <f t="shared" ref="O388" si="394">L388&gt;D388</f>
        <v>1</v>
      </c>
      <c r="P388" s="254">
        <f>COUNTIF(O$2:O388, TRUE)/(COUNTIF(O$2:O388,FALSE) + COUNTIF(O$2:O388, TRUE))</f>
        <v>0.48837209302325579</v>
      </c>
      <c r="Q388" s="252">
        <v>290453.15000000002</v>
      </c>
      <c r="R388" s="252">
        <f t="shared" ref="R388" si="395">I388-Q388</f>
        <v>124707.13</v>
      </c>
      <c r="S388" s="252">
        <v>-33166</v>
      </c>
      <c r="T388" s="252">
        <f t="shared" ref="T388" si="396">M388-S388</f>
        <v>48326.280000000028</v>
      </c>
      <c r="U388" s="254">
        <f>STDEV(D$2:D388)*SQRT(252)</f>
        <v>0.15450201975673039</v>
      </c>
      <c r="V388" s="254">
        <f>STDEV(L$2:L388)*SQRT(252)</f>
        <v>0.33499869256198822</v>
      </c>
      <c r="W388" s="253">
        <f t="shared" ref="W388" si="397">N388/V388</f>
        <v>0.11313685946098706</v>
      </c>
    </row>
    <row r="389" spans="2:23" ht="20.100000000000001" customHeight="1" x14ac:dyDescent="0.25">
      <c r="B389" s="246">
        <v>42823</v>
      </c>
      <c r="C389" s="336">
        <v>2361.13</v>
      </c>
      <c r="D389" s="172">
        <f t="shared" ref="D389" si="398">(C389-C388)/C388</f>
        <v>1.0854034436119959E-3</v>
      </c>
      <c r="E389" s="248">
        <f t="shared" ref="E389" si="399">(C389-$C$2)/$C$2</f>
        <v>0.12304275032819012</v>
      </c>
      <c r="F389" s="249">
        <v>5897.54</v>
      </c>
      <c r="G389" s="172">
        <f t="shared" ref="G389:G401" si="400">(F389-F388)/F388</f>
        <v>3.8126751022102682E-3</v>
      </c>
      <c r="H389" s="250">
        <f t="shared" ref="H389" si="401">(F389-F$2)/F$2</f>
        <v>0.15826541233772615</v>
      </c>
      <c r="I389" s="566">
        <v>420963.65</v>
      </c>
      <c r="J389" s="252">
        <v>400000</v>
      </c>
      <c r="K389" s="252">
        <f t="shared" ref="K389" si="402">I389-I388-J389+J388</f>
        <v>5803.3699999999953</v>
      </c>
      <c r="L389" s="172">
        <f t="shared" si="391"/>
        <v>1.3978625315504641E-2</v>
      </c>
      <c r="M389" s="599">
        <f t="shared" ref="M389" si="403">I389-J389</f>
        <v>20963.650000000023</v>
      </c>
      <c r="N389" s="254">
        <f t="shared" ref="N389" si="404">M389/J389</f>
        <v>5.2409125000000056E-2</v>
      </c>
      <c r="O389" s="253" t="b">
        <f t="shared" ref="O389" si="405">L389&gt;D389</f>
        <v>1</v>
      </c>
      <c r="P389" s="254">
        <f>COUNTIF(O$2:O389, TRUE)/(COUNTIF(O$2:O389,FALSE) + COUNTIF(O$2:O389, TRUE))</f>
        <v>0.48969072164948452</v>
      </c>
      <c r="Q389" s="252">
        <v>287876.7</v>
      </c>
      <c r="R389" s="252">
        <f t="shared" ref="R389" si="406">I389-Q389</f>
        <v>133086.95000000001</v>
      </c>
      <c r="S389" s="252">
        <v>-32529</v>
      </c>
      <c r="T389" s="252">
        <f t="shared" ref="T389" si="407">M389-S389</f>
        <v>53492.650000000023</v>
      </c>
      <c r="U389" s="254">
        <f>STDEV(D$2:D389)*SQRT(252)</f>
        <v>0.15430291454708026</v>
      </c>
      <c r="V389" s="254">
        <f>STDEV(L$2:L389)*SQRT(252)</f>
        <v>0.3347396845919004</v>
      </c>
      <c r="W389" s="253">
        <f t="shared" ref="W389" si="408">N389/V389</f>
        <v>0.15656681120404026</v>
      </c>
    </row>
    <row r="390" spans="2:23" ht="20.100000000000001" customHeight="1" x14ac:dyDescent="0.25">
      <c r="B390" s="246">
        <v>42824</v>
      </c>
      <c r="C390" s="336">
        <v>2368.06</v>
      </c>
      <c r="D390" s="172">
        <f t="shared" ref="D390:D392" si="409">(C390-C389)/C389</f>
        <v>2.9350353432465964E-3</v>
      </c>
      <c r="E390" s="248">
        <f t="shared" ref="E390" si="410">(C390-$C$2)/$C$2</f>
        <v>0.12633892049238021</v>
      </c>
      <c r="F390" s="249">
        <v>5914.34</v>
      </c>
      <c r="G390" s="172">
        <f t="shared" si="400"/>
        <v>2.848645367390502E-3</v>
      </c>
      <c r="H390" s="250">
        <f t="shared" ref="H390" si="411">(F390-F$2)/F$2</f>
        <v>0.16156489973879065</v>
      </c>
      <c r="I390" s="566">
        <v>421561.9</v>
      </c>
      <c r="J390" s="252">
        <v>400000</v>
      </c>
      <c r="K390" s="252">
        <f t="shared" ref="K390" si="412">I390-I389-J390+J389</f>
        <v>598.25</v>
      </c>
      <c r="L390" s="172">
        <f t="shared" si="391"/>
        <v>1.4211440821553119E-3</v>
      </c>
      <c r="M390" s="599">
        <f t="shared" ref="M390" si="413">I390-J390</f>
        <v>21561.900000000023</v>
      </c>
      <c r="N390" s="254">
        <f t="shared" ref="N390" si="414">M390/J390</f>
        <v>5.3904750000000057E-2</v>
      </c>
      <c r="O390" s="253" t="b">
        <f t="shared" ref="O390" si="415">L390&gt;D390</f>
        <v>0</v>
      </c>
      <c r="P390" s="254">
        <f>COUNTIF(O$2:O390, TRUE)/(COUNTIF(O$2:O390,FALSE) + COUNTIF(O$2:O390, TRUE))</f>
        <v>0.4884318766066838</v>
      </c>
      <c r="Q390" s="252">
        <v>288474.95</v>
      </c>
      <c r="R390" s="252">
        <f t="shared" ref="R390" si="416">I390-Q390</f>
        <v>133086.95000000001</v>
      </c>
      <c r="S390" s="252">
        <v>-32386</v>
      </c>
      <c r="T390" s="252">
        <f t="shared" ref="T390" si="417">M390-S390</f>
        <v>53947.900000000023</v>
      </c>
      <c r="U390" s="254">
        <f>STDEV(D$2:D390)*SQRT(252)</f>
        <v>0.15411754273939668</v>
      </c>
      <c r="V390" s="254">
        <f>STDEV(L$2:L390)*SQRT(252)</f>
        <v>0.3343075900232127</v>
      </c>
      <c r="W390" s="253">
        <f t="shared" ref="W390" si="418">N390/V390</f>
        <v>0.16124297386205672</v>
      </c>
    </row>
    <row r="391" spans="2:23" ht="20.100000000000001" customHeight="1" x14ac:dyDescent="0.25">
      <c r="B391" s="246">
        <v>42825</v>
      </c>
      <c r="C391" s="336">
        <v>2362.7199999999998</v>
      </c>
      <c r="D391" s="172">
        <f t="shared" si="409"/>
        <v>-2.2550104304790188E-3</v>
      </c>
      <c r="E391" s="248">
        <f t="shared" ref="E391" si="419">(C391-$C$2)/$C$2</f>
        <v>0.12379901447841543</v>
      </c>
      <c r="F391" s="249">
        <v>5911.73</v>
      </c>
      <c r="G391" s="172">
        <f t="shared" si="400"/>
        <v>-4.4130029724374692E-4</v>
      </c>
      <c r="H391" s="250">
        <f t="shared" ref="H391" si="420">(F391-F$2)/F$2</f>
        <v>0.16105230080326802</v>
      </c>
      <c r="I391" s="596">
        <v>422230.44</v>
      </c>
      <c r="J391" s="252">
        <v>400000</v>
      </c>
      <c r="K391" s="252">
        <f t="shared" ref="K391" si="421">I391-I390-J391+J390</f>
        <v>668.53999999997905</v>
      </c>
      <c r="L391" s="172">
        <f t="shared" si="391"/>
        <v>1.5858643772124071E-3</v>
      </c>
      <c r="M391" s="482">
        <f t="shared" ref="M391" si="422">I391-J391</f>
        <v>22230.440000000002</v>
      </c>
      <c r="N391" s="254">
        <f t="shared" ref="N391" si="423">M391/J391</f>
        <v>5.5576100000000003E-2</v>
      </c>
      <c r="O391" s="253" t="b">
        <f t="shared" ref="O391" si="424">L391&gt;D391</f>
        <v>1</v>
      </c>
      <c r="P391" s="254">
        <f>COUNTIF(O$2:O391, TRUE)/(COUNTIF(O$2:O391,FALSE) + COUNTIF(O$2:O391, TRUE))</f>
        <v>0.48974358974358972</v>
      </c>
      <c r="Q391" s="252">
        <v>285478.7</v>
      </c>
      <c r="R391" s="252">
        <f t="shared" ref="R391" si="425">I391-Q391</f>
        <v>136751.74</v>
      </c>
      <c r="S391" s="252">
        <v>-31395</v>
      </c>
      <c r="T391" s="252">
        <f t="shared" ref="T391" si="426">M391-S391</f>
        <v>53625.440000000002</v>
      </c>
      <c r="U391" s="254">
        <f>STDEV(D$2:D391)*SQRT(252)</f>
        <v>0.15393312876739909</v>
      </c>
      <c r="V391" s="254">
        <f>STDEV(L$2:L391)*SQRT(252)</f>
        <v>0.33387745459794199</v>
      </c>
      <c r="W391" s="253">
        <f t="shared" ref="W391" si="427">N391/V391</f>
        <v>0.16645658230180652</v>
      </c>
    </row>
    <row r="392" spans="2:23" ht="20.100000000000001" customHeight="1" x14ac:dyDescent="0.25">
      <c r="B392" s="173">
        <v>42828</v>
      </c>
      <c r="C392" s="217">
        <v>2358.84</v>
      </c>
      <c r="D392" s="172">
        <f t="shared" si="409"/>
        <v>-1.6421751202003007E-3</v>
      </c>
      <c r="E392" s="211">
        <f t="shared" ref="E392" si="428">(C392-$C$2)/$C$2</f>
        <v>0.12195353969673337</v>
      </c>
      <c r="F392" s="221">
        <v>5894.68</v>
      </c>
      <c r="G392" s="172">
        <f t="shared" si="400"/>
        <v>-2.8840965335019146E-3</v>
      </c>
      <c r="H392" s="205">
        <f t="shared" ref="H392" si="429">(F392-F$2)/F$2</f>
        <v>0.15770371388730689</v>
      </c>
      <c r="I392" s="223">
        <v>420788.86</v>
      </c>
      <c r="J392" s="174">
        <v>400000</v>
      </c>
      <c r="K392" s="174">
        <f t="shared" ref="K392" si="430">I392-I391-J392+J391</f>
        <v>-1441.5800000000163</v>
      </c>
      <c r="L392" s="172">
        <f t="shared" si="391"/>
        <v>-3.4142019699006454E-3</v>
      </c>
      <c r="M392" s="184">
        <f t="shared" ref="M392" si="431">I392-J392</f>
        <v>20788.859999999986</v>
      </c>
      <c r="N392" s="186">
        <f t="shared" ref="N392" si="432">M392/J392</f>
        <v>5.1972149999999967E-2</v>
      </c>
      <c r="O392" s="184" t="b">
        <f t="shared" ref="O392" si="433">L392&gt;D392</f>
        <v>0</v>
      </c>
      <c r="P392" s="186">
        <f>COUNTIF(O$2:O392, TRUE)/(COUNTIF(O$2:O392,FALSE) + COUNTIF(O$2:O392, TRUE))</f>
        <v>0.48849104859335041</v>
      </c>
      <c r="Q392" s="174">
        <v>278736.34999999998</v>
      </c>
      <c r="R392" s="174">
        <f t="shared" ref="R392" si="434">I392-Q392</f>
        <v>142052.51</v>
      </c>
      <c r="S392" s="174">
        <v>-32014</v>
      </c>
      <c r="T392" s="174">
        <f t="shared" ref="T392" si="435">M392-S392</f>
        <v>52802.859999999986</v>
      </c>
      <c r="U392" s="186">
        <f>STDEV(D$2:D392)*SQRT(252)</f>
        <v>0.15374345797285574</v>
      </c>
      <c r="V392" s="186">
        <f>STDEV(L$2:L392)*SQRT(252)</f>
        <v>0.33346362819879094</v>
      </c>
      <c r="W392" s="184">
        <f t="shared" ref="W392" si="436">N392/V392</f>
        <v>0.15585552847465961</v>
      </c>
    </row>
    <row r="393" spans="2:23" ht="20.100000000000001" customHeight="1" x14ac:dyDescent="0.25">
      <c r="B393" s="173">
        <v>42829</v>
      </c>
      <c r="C393" s="217">
        <v>2360.16</v>
      </c>
      <c r="D393" s="172">
        <f t="shared" ref="D393" si="437">(C393-C392)/C392</f>
        <v>5.5959709009500806E-4</v>
      </c>
      <c r="E393" s="211">
        <f t="shared" ref="E393" si="438">(C393-$C$2)/$C$2</f>
        <v>0.12258138163276945</v>
      </c>
      <c r="F393" s="221">
        <v>5898.6</v>
      </c>
      <c r="G393" s="172">
        <f t="shared" si="400"/>
        <v>6.6500641256184774E-4</v>
      </c>
      <c r="H393" s="205">
        <f t="shared" ref="H393" si="439">(F393-F$2)/F$2</f>
        <v>0.15847359428088861</v>
      </c>
      <c r="I393" s="223">
        <v>422816.59</v>
      </c>
      <c r="J393" s="174">
        <v>400000</v>
      </c>
      <c r="K393" s="174">
        <f t="shared" ref="K393" si="440">I393-I392-J393+J392</f>
        <v>2027.7300000000396</v>
      </c>
      <c r="L393" s="172">
        <f t="shared" si="391"/>
        <v>4.8188775719966532E-3</v>
      </c>
      <c r="M393" s="184">
        <f t="shared" ref="M393" si="441">I393-J393</f>
        <v>22816.590000000026</v>
      </c>
      <c r="N393" s="186">
        <f t="shared" ref="N393" si="442">M393/J393</f>
        <v>5.7041475000000064E-2</v>
      </c>
      <c r="O393" s="184" t="b">
        <f t="shared" ref="O393" si="443">L393&gt;D393</f>
        <v>1</v>
      </c>
      <c r="P393" s="186">
        <f>COUNTIF(O$2:O393, TRUE)/(COUNTIF(O$2:O393,FALSE) + COUNTIF(O$2:O393, TRUE))</f>
        <v>0.48979591836734693</v>
      </c>
      <c r="Q393" s="174">
        <v>279812.09999999998</v>
      </c>
      <c r="R393" s="174">
        <f t="shared" ref="R393" si="444">I393-Q393</f>
        <v>143004.49000000005</v>
      </c>
      <c r="S393" s="174">
        <v>-31748</v>
      </c>
      <c r="T393" s="174">
        <f t="shared" ref="T393" si="445">M393-S393</f>
        <v>54564.590000000026</v>
      </c>
      <c r="U393" s="186">
        <f>STDEV(D$2:D393)*SQRT(252)</f>
        <v>0.15354632404261861</v>
      </c>
      <c r="V393" s="186">
        <f>STDEV(L$2:L393)*SQRT(252)</f>
        <v>0.33305315734956037</v>
      </c>
      <c r="W393" s="184">
        <f t="shared" ref="W393" si="446">N393/V393</f>
        <v>0.17126838086129123</v>
      </c>
    </row>
    <row r="394" spans="2:23" ht="20.100000000000001" customHeight="1" x14ac:dyDescent="0.25">
      <c r="B394" s="173">
        <v>42830</v>
      </c>
      <c r="C394" s="217">
        <v>2352.9499999999998</v>
      </c>
      <c r="D394" s="172">
        <f t="shared" ref="D394:D398" si="447">(C394-C393)/C393</f>
        <v>-3.054877635414564E-3</v>
      </c>
      <c r="E394" s="211">
        <f t="shared" ref="E394" si="448">(C394-$C$2)/$C$2</f>
        <v>0.11915203287608672</v>
      </c>
      <c r="F394" s="221">
        <v>5864.47</v>
      </c>
      <c r="G394" s="172">
        <f t="shared" si="400"/>
        <v>-5.7861187400400273E-3</v>
      </c>
      <c r="H394" s="205">
        <f t="shared" ref="H394" si="449">(F394-F$2)/F$2</f>
        <v>0.15177052850717845</v>
      </c>
      <c r="I394" s="223">
        <v>421093.29</v>
      </c>
      <c r="J394" s="174">
        <v>400000</v>
      </c>
      <c r="K394" s="174">
        <f t="shared" ref="K394" si="450">I394-I393-J394+J393</f>
        <v>-1723.3000000000466</v>
      </c>
      <c r="L394" s="172">
        <f t="shared" si="391"/>
        <v>-4.0757624955067313E-3</v>
      </c>
      <c r="M394" s="184">
        <f t="shared" ref="M394" si="451">I394-J394</f>
        <v>21093.289999999979</v>
      </c>
      <c r="N394" s="186">
        <f t="shared" ref="N394" si="452">M394/J394</f>
        <v>5.2733224999999946E-2</v>
      </c>
      <c r="O394" s="184" t="b">
        <f t="shared" ref="O394" si="453">L394&gt;D394</f>
        <v>0</v>
      </c>
      <c r="P394" s="186">
        <f>COUNTIF(O$2:O394, TRUE)/(COUNTIF(O$2:O394,FALSE) + COUNTIF(O$2:O394, TRUE))</f>
        <v>0.48854961832061067</v>
      </c>
      <c r="Q394" s="174">
        <v>275976.95</v>
      </c>
      <c r="R394" s="174">
        <f t="shared" ref="R394" si="454">I394-Q394</f>
        <v>145116.33999999997</v>
      </c>
      <c r="S394" s="174">
        <v>-31864</v>
      </c>
      <c r="T394" s="174">
        <f t="shared" ref="T394" si="455">M394-S394</f>
        <v>52957.289999999979</v>
      </c>
      <c r="U394" s="186">
        <f>STDEV(D$2:D394)*SQRT(252)</f>
        <v>0.15337403613806713</v>
      </c>
      <c r="V394" s="186">
        <f>STDEV(L$2:L394)*SQRT(252)</f>
        <v>0.33264809996553257</v>
      </c>
      <c r="W394" s="184">
        <f t="shared" ref="W394" si="456">N394/V394</f>
        <v>0.15852555600186477</v>
      </c>
    </row>
    <row r="395" spans="2:23" ht="20.100000000000001" customHeight="1" x14ac:dyDescent="0.25">
      <c r="B395" s="173">
        <v>42831</v>
      </c>
      <c r="C395" s="217">
        <v>2357.4899999999998</v>
      </c>
      <c r="D395" s="172">
        <f t="shared" si="447"/>
        <v>1.9294927644021181E-3</v>
      </c>
      <c r="E395" s="211">
        <f t="shared" ref="E395" si="457">(C395-$C$2)/$C$2</f>
        <v>0.12131142862578705</v>
      </c>
      <c r="F395" s="221">
        <v>5878.95</v>
      </c>
      <c r="G395" s="172">
        <f t="shared" si="400"/>
        <v>2.4691063301542277E-3</v>
      </c>
      <c r="H395" s="205">
        <f t="shared" ref="H395" si="458">(F395-F$2)/F$2</f>
        <v>0.15461437241000059</v>
      </c>
      <c r="I395" s="223">
        <v>424138.1</v>
      </c>
      <c r="J395" s="174">
        <v>400000</v>
      </c>
      <c r="K395" s="174">
        <f t="shared" ref="K395" si="459">I395-I394-J395+J394</f>
        <v>3044.8099999999977</v>
      </c>
      <c r="L395" s="172">
        <f t="shared" si="391"/>
        <v>7.2307255240281736E-3</v>
      </c>
      <c r="M395" s="184">
        <f t="shared" ref="M395" si="460">I395-J395</f>
        <v>24138.099999999977</v>
      </c>
      <c r="N395" s="186">
        <f t="shared" ref="N395" si="461">M395/J395</f>
        <v>6.0345249999999941E-2</v>
      </c>
      <c r="O395" s="184" t="b">
        <f t="shared" ref="O395" si="462">L395&gt;D395</f>
        <v>1</v>
      </c>
      <c r="P395" s="186">
        <f>COUNTIF(O$2:O395, TRUE)/(COUNTIF(O$2:O395,FALSE) + COUNTIF(O$2:O395, TRUE))</f>
        <v>0.48984771573604063</v>
      </c>
      <c r="Q395" s="174">
        <v>278419.3</v>
      </c>
      <c r="R395" s="174">
        <f t="shared" ref="R395" si="463">I395-Q395</f>
        <v>145718.79999999999</v>
      </c>
      <c r="S395" s="174">
        <v>-32100</v>
      </c>
      <c r="T395" s="174">
        <f t="shared" ref="T395" si="464">M395-S395</f>
        <v>56238.099999999977</v>
      </c>
      <c r="U395" s="186">
        <f>STDEV(D$2:D395)*SQRT(252)</f>
        <v>0.15318361130660466</v>
      </c>
      <c r="V395" s="186">
        <f>STDEV(L$2:L395)*SQRT(252)</f>
        <v>0.33226612910747538</v>
      </c>
      <c r="W395" s="184">
        <f t="shared" ref="W395" si="465">N395/V395</f>
        <v>0.18161721798757455</v>
      </c>
    </row>
    <row r="396" spans="2:23" ht="20.100000000000001" customHeight="1" x14ac:dyDescent="0.25">
      <c r="B396" s="173">
        <v>42832</v>
      </c>
      <c r="C396" s="217">
        <v>2355.54</v>
      </c>
      <c r="D396" s="172">
        <f t="shared" si="447"/>
        <v>-8.2715091050219439E-4</v>
      </c>
      <c r="E396" s="211">
        <f t="shared" ref="E396" si="466">(C396-$C$2)/$C$2</f>
        <v>0.12038393485664271</v>
      </c>
      <c r="F396" s="221">
        <v>5877.81</v>
      </c>
      <c r="G396" s="172">
        <f t="shared" si="400"/>
        <v>-1.9391217819498687E-4</v>
      </c>
      <c r="H396" s="205">
        <f t="shared" ref="H396" si="467">(F396-F$2)/F$2</f>
        <v>0.15439047862207134</v>
      </c>
      <c r="I396" s="223">
        <v>423331.5</v>
      </c>
      <c r="J396" s="174">
        <v>400000</v>
      </c>
      <c r="K396" s="174">
        <f t="shared" ref="K396" si="468">I396-I395-J396+J395</f>
        <v>-806.59999999997672</v>
      </c>
      <c r="L396" s="172">
        <f t="shared" si="391"/>
        <v>-1.901739079794946E-3</v>
      </c>
      <c r="M396" s="184">
        <f t="shared" ref="M396" si="469">I396-J396</f>
        <v>23331.5</v>
      </c>
      <c r="N396" s="186">
        <f t="shared" ref="N396" si="470">M396/J396</f>
        <v>5.8328749999999999E-2</v>
      </c>
      <c r="O396" s="184" t="b">
        <f t="shared" ref="O396" si="471">L396&gt;D396</f>
        <v>0</v>
      </c>
      <c r="P396" s="186">
        <f>COUNTIF(O$2:O396, TRUE)/(COUNTIF(O$2:O396,FALSE) + COUNTIF(O$2:O396, TRUE))</f>
        <v>0.48860759493670886</v>
      </c>
      <c r="Q396" s="174">
        <v>280798.7</v>
      </c>
      <c r="R396" s="174">
        <f t="shared" ref="R396" si="472">I396-Q396</f>
        <v>142532.79999999999</v>
      </c>
      <c r="S396" s="174">
        <v>-32984</v>
      </c>
      <c r="T396" s="174">
        <f t="shared" ref="T396" si="473">M396-S396</f>
        <v>56315.5</v>
      </c>
      <c r="U396" s="186">
        <f>STDEV(D$2:D396)*SQRT(252)</f>
        <v>0.15299143349186958</v>
      </c>
      <c r="V396" s="186">
        <f>STDEV(L$2:L396)*SQRT(252)</f>
        <v>0.33184917870470027</v>
      </c>
      <c r="W396" s="184">
        <f t="shared" ref="W396" si="474">N396/V396</f>
        <v>0.17576885447682392</v>
      </c>
    </row>
    <row r="397" spans="2:23" ht="20.100000000000001" customHeight="1" x14ac:dyDescent="0.25">
      <c r="B397" s="246">
        <v>42835</v>
      </c>
      <c r="C397" s="336">
        <v>2357.16</v>
      </c>
      <c r="D397" s="172">
        <f t="shared" si="447"/>
        <v>6.8774039073838311E-4</v>
      </c>
      <c r="E397" s="248">
        <f t="shared" ref="E397" si="475">(C397-$C$2)/$C$2</f>
        <v>0.12115446814177802</v>
      </c>
      <c r="F397" s="249">
        <v>5880.92</v>
      </c>
      <c r="G397" s="172">
        <f t="shared" si="400"/>
        <v>5.2910863059535309E-4</v>
      </c>
      <c r="H397" s="250">
        <f t="shared" ref="H397" si="476">(F397-F$2)/F$2</f>
        <v>0.15500127658738738</v>
      </c>
      <c r="I397" s="566">
        <v>425409.3</v>
      </c>
      <c r="J397" s="252">
        <v>400000</v>
      </c>
      <c r="K397" s="252">
        <f t="shared" ref="K397" si="477">I397-I396-J397+J396</f>
        <v>2077.7999999999884</v>
      </c>
      <c r="L397" s="172">
        <f t="shared" si="391"/>
        <v>4.9082102324064904E-3</v>
      </c>
      <c r="M397" s="599">
        <f t="shared" ref="M397" si="478">I397-J397</f>
        <v>25409.299999999988</v>
      </c>
      <c r="N397" s="254">
        <f t="shared" ref="N397" si="479">M397/J397</f>
        <v>6.3523249999999976E-2</v>
      </c>
      <c r="O397" s="253" t="b">
        <f t="shared" ref="O397" si="480">L397&gt;D397</f>
        <v>1</v>
      </c>
      <c r="P397" s="254">
        <f>COUNTIF(O$2:O397, TRUE)/(COUNTIF(O$2:O397,FALSE) + COUNTIF(O$2:O397, TRUE))</f>
        <v>0.48989898989898989</v>
      </c>
      <c r="Q397" s="252">
        <v>285684.5</v>
      </c>
      <c r="R397" s="252">
        <f t="shared" ref="R397" si="481">I397-Q397</f>
        <v>139724.79999999999</v>
      </c>
      <c r="S397" s="252">
        <v>-32983</v>
      </c>
      <c r="T397" s="252">
        <f t="shared" ref="T397" si="482">M397-S397</f>
        <v>58392.299999999988</v>
      </c>
      <c r="U397" s="254">
        <f>STDEV(D$2:D397)*SQRT(252)</f>
        <v>0.15279741867910826</v>
      </c>
      <c r="V397" s="254">
        <f>STDEV(L$2:L397)*SQRT(252)</f>
        <v>0.3314456683195206</v>
      </c>
      <c r="W397" s="253">
        <f t="shared" ref="W397" si="483">N397/V397</f>
        <v>0.19165509183472637</v>
      </c>
    </row>
    <row r="398" spans="2:23" ht="20.100000000000001" customHeight="1" x14ac:dyDescent="0.25">
      <c r="B398" s="246">
        <v>42836</v>
      </c>
      <c r="C398" s="336">
        <v>2353.7800000000002</v>
      </c>
      <c r="D398" s="172">
        <f t="shared" si="447"/>
        <v>-1.4339289653649539E-3</v>
      </c>
      <c r="E398" s="248">
        <f t="shared" ref="E398" si="484">(C398-$C$2)/$C$2</f>
        <v>0.11954681227526119</v>
      </c>
      <c r="F398" s="249">
        <v>5866.77</v>
      </c>
      <c r="G398" s="172">
        <f t="shared" si="400"/>
        <v>-2.4060861225793984E-3</v>
      </c>
      <c r="H398" s="250">
        <f t="shared" ref="H398" si="485">(F398-F$2)/F$2</f>
        <v>0.15222224404422896</v>
      </c>
      <c r="I398" s="566">
        <v>423985</v>
      </c>
      <c r="J398" s="252">
        <v>400000</v>
      </c>
      <c r="K398" s="252">
        <f t="shared" ref="K398" si="486">I398-I397-J398+J397</f>
        <v>-1424.2999999999884</v>
      </c>
      <c r="L398" s="172">
        <f t="shared" si="391"/>
        <v>-3.3480697295521947E-3</v>
      </c>
      <c r="M398" s="599">
        <f t="shared" ref="M398" si="487">I398-J398</f>
        <v>23985</v>
      </c>
      <c r="N398" s="254">
        <f t="shared" ref="N398" si="488">M398/J398</f>
        <v>5.9962500000000002E-2</v>
      </c>
      <c r="O398" s="253" t="b">
        <f t="shared" ref="O398" si="489">L398&gt;D398</f>
        <v>0</v>
      </c>
      <c r="P398" s="254">
        <f>COUNTIF(O$2:O398, TRUE)/(COUNTIF(O$2:O398,FALSE) + COUNTIF(O$2:O398, TRUE))</f>
        <v>0.48866498740554154</v>
      </c>
      <c r="Q398" s="252">
        <v>291945.2</v>
      </c>
      <c r="R398" s="252">
        <f t="shared" ref="R398" si="490">I398-Q398</f>
        <v>132039.79999999999</v>
      </c>
      <c r="S398" s="252">
        <v>-32982</v>
      </c>
      <c r="T398" s="252">
        <f t="shared" ref="T398" si="491">M398-S398</f>
        <v>56967</v>
      </c>
      <c r="U398" s="254">
        <f>STDEV(D$2:D398)*SQRT(252)</f>
        <v>0.15261041063464104</v>
      </c>
      <c r="V398" s="254">
        <f>STDEV(L$2:L398)*SQRT(252)</f>
        <v>0.33104089578978618</v>
      </c>
      <c r="W398" s="253">
        <f t="shared" ref="W398" si="492">N398/V398</f>
        <v>0.18113320971097391</v>
      </c>
    </row>
    <row r="399" spans="2:23" ht="20.100000000000001" customHeight="1" x14ac:dyDescent="0.25">
      <c r="B399" s="246">
        <v>42837</v>
      </c>
      <c r="C399" s="336">
        <v>2344.9299999999998</v>
      </c>
      <c r="D399" s="172">
        <f t="shared" ref="D399:D401" si="493">(C399-C398)/C398</f>
        <v>-3.7599095922305243E-3</v>
      </c>
      <c r="E399" s="248">
        <f t="shared" ref="E399" si="494">(C399-$C$2)/$C$2</f>
        <v>0.11533741747683633</v>
      </c>
      <c r="F399" s="249">
        <v>5836.16</v>
      </c>
      <c r="G399" s="172">
        <f t="shared" si="400"/>
        <v>-5.2175217368331432E-3</v>
      </c>
      <c r="H399" s="250">
        <f t="shared" ref="H399" si="495">(F399-F$2)/F$2</f>
        <v>0.14621049944026554</v>
      </c>
      <c r="I399" s="566">
        <v>422212.73</v>
      </c>
      <c r="J399" s="252">
        <v>400000</v>
      </c>
      <c r="K399" s="252">
        <f t="shared" ref="K399" si="496">I399-I398-J399+J398</f>
        <v>-1772.2700000000186</v>
      </c>
      <c r="L399" s="172">
        <f t="shared" si="391"/>
        <v>-4.1800299538899219E-3</v>
      </c>
      <c r="M399" s="599">
        <f t="shared" ref="M399" si="497">I399-J399</f>
        <v>22212.729999999981</v>
      </c>
      <c r="N399" s="254">
        <f t="shared" ref="N399" si="498">M399/J399</f>
        <v>5.5531824999999951E-2</v>
      </c>
      <c r="O399" s="253" t="b">
        <f t="shared" ref="O399" si="499">L399&gt;D399</f>
        <v>0</v>
      </c>
      <c r="P399" s="254">
        <f>COUNTIF(O$2:O399, TRUE)/(COUNTIF(O$2:O399,FALSE) + COUNTIF(O$2:O399, TRUE))</f>
        <v>0.48743718592964824</v>
      </c>
      <c r="Q399" s="252">
        <v>291946.2</v>
      </c>
      <c r="R399" s="252">
        <f t="shared" ref="R399" si="500">I399-Q399</f>
        <v>130266.52999999997</v>
      </c>
      <c r="S399" s="252">
        <v>-32526</v>
      </c>
      <c r="T399" s="252">
        <f t="shared" ref="T399" si="501">M399-S399</f>
        <v>54738.729999999981</v>
      </c>
      <c r="U399" s="254">
        <f>STDEV(D$2:D399)*SQRT(252)</f>
        <v>0.15245244674413128</v>
      </c>
      <c r="V399" s="254">
        <f>STDEV(L$2:L399)*SQRT(252)</f>
        <v>0.33064456752182653</v>
      </c>
      <c r="W399" s="253">
        <f t="shared" ref="W399" si="502">N399/V399</f>
        <v>0.16795021135901222</v>
      </c>
    </row>
    <row r="400" spans="2:23" ht="20.100000000000001" customHeight="1" x14ac:dyDescent="0.25">
      <c r="B400" s="246">
        <v>42838</v>
      </c>
      <c r="C400" s="336">
        <v>2328.9499999999998</v>
      </c>
      <c r="D400" s="172">
        <f t="shared" si="493"/>
        <v>-6.8147023578529076E-3</v>
      </c>
      <c r="E400" s="248">
        <f t="shared" ref="E400" si="503">(C400-$C$2)/$C$2</f>
        <v>0.10773672494815537</v>
      </c>
      <c r="F400" s="249">
        <v>5805.15</v>
      </c>
      <c r="G400" s="172">
        <f t="shared" si="400"/>
        <v>-5.3134252659283194E-3</v>
      </c>
      <c r="H400" s="250">
        <f t="shared" ref="H400" si="504">(F400-F$2)/F$2</f>
        <v>0.14012019561246733</v>
      </c>
      <c r="I400" s="566">
        <v>418306.53</v>
      </c>
      <c r="J400" s="252">
        <v>400000</v>
      </c>
      <c r="K400" s="252">
        <f t="shared" ref="K400" si="505">I400-I399-J400+J399</f>
        <v>-3906.1999999999534</v>
      </c>
      <c r="L400" s="172">
        <f t="shared" si="391"/>
        <v>-9.2517343093846405E-3</v>
      </c>
      <c r="M400" s="599">
        <f t="shared" ref="M400" si="506">I400-J400</f>
        <v>18306.530000000028</v>
      </c>
      <c r="N400" s="254">
        <f t="shared" ref="N400" si="507">M400/J400</f>
        <v>4.5766325000000073E-2</v>
      </c>
      <c r="O400" s="253" t="b">
        <f t="shared" ref="O400" si="508">L400&gt;D400</f>
        <v>0</v>
      </c>
      <c r="P400" s="254">
        <f>COUNTIF(O$2:O400, TRUE)/(COUNTIF(O$2:O400,FALSE) + COUNTIF(O$2:O400, TRUE))</f>
        <v>0.48621553884711777</v>
      </c>
      <c r="Q400" s="252">
        <v>286240.8</v>
      </c>
      <c r="R400" s="252">
        <f t="shared" ref="R400" si="509">I400-Q400</f>
        <v>132065.73000000004</v>
      </c>
      <c r="S400" s="252">
        <v>-33099</v>
      </c>
      <c r="T400" s="252">
        <f t="shared" ref="T400" si="510">M400-S400</f>
        <v>51405.530000000028</v>
      </c>
      <c r="U400" s="254">
        <f>STDEV(D$2:D400)*SQRT(252)</f>
        <v>0.15236615023728597</v>
      </c>
      <c r="V400" s="254">
        <f>STDEV(L$2:L400)*SQRT(252)</f>
        <v>0.33032064931831551</v>
      </c>
      <c r="W400" s="253">
        <f t="shared" ref="W400" si="511">N400/V400</f>
        <v>0.138551208029072</v>
      </c>
    </row>
    <row r="401" spans="2:23" ht="20.100000000000001" customHeight="1" x14ac:dyDescent="0.25">
      <c r="B401" s="173">
        <v>42842</v>
      </c>
      <c r="C401" s="217">
        <v>2349.0100000000002</v>
      </c>
      <c r="D401" s="172">
        <f t="shared" si="493"/>
        <v>8.6133236007644651E-3</v>
      </c>
      <c r="E401" s="211">
        <f t="shared" ref="E401" si="512">(C401-$C$2)/$C$2</f>
        <v>0.11727801982458484</v>
      </c>
      <c r="F401" s="221">
        <v>5856.78</v>
      </c>
      <c r="G401" s="172">
        <f t="shared" si="400"/>
        <v>8.8938270328932263E-3</v>
      </c>
      <c r="H401" s="205">
        <f t="shared" ref="H401" si="513">(F401-F$2)/F$2</f>
        <v>0.15026022742895298</v>
      </c>
      <c r="I401" s="223">
        <v>420202.33</v>
      </c>
      <c r="J401" s="174">
        <v>400000</v>
      </c>
      <c r="K401" s="174">
        <f t="shared" ref="K401" si="514">I401-I400-J401+J400</f>
        <v>1895.7999999999884</v>
      </c>
      <c r="L401" s="172">
        <f t="shared" si="391"/>
        <v>4.5320832070204313E-3</v>
      </c>
      <c r="M401" s="184">
        <f t="shared" ref="M401" si="515">I401-J401</f>
        <v>20202.330000000016</v>
      </c>
      <c r="N401" s="186">
        <f t="shared" ref="N401" si="516">M401/J401</f>
        <v>5.0505825000000039E-2</v>
      </c>
      <c r="O401" s="184" t="b">
        <f t="shared" ref="O401" si="517">L401&gt;D401</f>
        <v>0</v>
      </c>
      <c r="P401" s="186">
        <f>COUNTIF(O$2:O401, TRUE)/(COUNTIF(O$2:O401,FALSE) + COUNTIF(O$2:O401, TRUE))</f>
        <v>0.48499999999999999</v>
      </c>
      <c r="Q401" s="174">
        <v>288136.59999999998</v>
      </c>
      <c r="R401" s="174">
        <f t="shared" ref="R401" si="518">I401-Q401</f>
        <v>132065.73000000004</v>
      </c>
      <c r="S401" s="174">
        <v>-32580</v>
      </c>
      <c r="T401" s="174">
        <f t="shared" ref="T401" si="519">M401-S401</f>
        <v>52782.330000000016</v>
      </c>
      <c r="U401" s="186">
        <f>STDEV(D$2:D401)*SQRT(252)</f>
        <v>0.15231786401444669</v>
      </c>
      <c r="V401" s="186">
        <f>STDEV(L$2:L401)*SQRT(252)</f>
        <v>0.32992050318629979</v>
      </c>
      <c r="W401" s="184">
        <f t="shared" ref="W401" si="520">N401/V401</f>
        <v>0.15308483259520361</v>
      </c>
    </row>
    <row r="402" spans="2:23" ht="20.100000000000001" customHeight="1" x14ac:dyDescent="0.25">
      <c r="B402" s="173">
        <v>42843</v>
      </c>
      <c r="C402" s="217">
        <v>2342.19</v>
      </c>
      <c r="D402" s="172">
        <f t="shared" ref="D402" si="521">(C402-C401)/C401</f>
        <v>-2.9033507733045678E-3</v>
      </c>
      <c r="E402" s="211">
        <f t="shared" ref="E402" si="522">(C402-$C$2)/$C$2</f>
        <v>0.11403416982173094</v>
      </c>
      <c r="F402" s="221">
        <v>5849.47</v>
      </c>
      <c r="G402" s="172">
        <f t="shared" ref="G402" si="523">(F402-F401)/F401</f>
        <v>-1.2481261034219299E-3</v>
      </c>
      <c r="H402" s="205">
        <f t="shared" ref="H402" si="524">(F402-F$2)/F$2</f>
        <v>0.14882455761337088</v>
      </c>
      <c r="I402" s="223">
        <v>417764.53</v>
      </c>
      <c r="J402" s="174">
        <v>400000</v>
      </c>
      <c r="K402" s="174">
        <f t="shared" ref="K402" si="525">I402-I401-J402+J401</f>
        <v>-2437.7999999999884</v>
      </c>
      <c r="L402" s="172">
        <f t="shared" ref="L402:L406" si="526">K402/I401</f>
        <v>-5.801490915102704E-3</v>
      </c>
      <c r="M402" s="184">
        <f t="shared" ref="M402" si="527">I402-J402</f>
        <v>17764.530000000028</v>
      </c>
      <c r="N402" s="186">
        <f t="shared" ref="N402" si="528">M402/J402</f>
        <v>4.4411325000000071E-2</v>
      </c>
      <c r="O402" s="184" t="b">
        <f t="shared" ref="O402" si="529">L402&gt;D402</f>
        <v>0</v>
      </c>
      <c r="P402" s="186">
        <f>COUNTIF(O$2:O402, TRUE)/(COUNTIF(O$2:O402,FALSE) + COUNTIF(O$2:O402, TRUE))</f>
        <v>0.48379052369077308</v>
      </c>
      <c r="Q402" s="174">
        <v>290653.2</v>
      </c>
      <c r="R402" s="174">
        <f t="shared" ref="R402" si="530">I402-Q402</f>
        <v>127111.33000000002</v>
      </c>
      <c r="S402" s="174">
        <v>-32684</v>
      </c>
      <c r="T402" s="174">
        <f t="shared" ref="T402" si="531">M402-S402</f>
        <v>50448.530000000028</v>
      </c>
      <c r="U402" s="186">
        <f>STDEV(D$2:D402)*SQRT(252)</f>
        <v>0.15214843271809947</v>
      </c>
      <c r="V402" s="186">
        <f>STDEV(L$2:L402)*SQRT(252)</f>
        <v>0.32954563372803763</v>
      </c>
      <c r="W402" s="184">
        <f t="shared" ref="W402" si="532">N402/V402</f>
        <v>0.13476532672452632</v>
      </c>
    </row>
    <row r="403" spans="2:23" ht="20.100000000000001" customHeight="1" x14ac:dyDescent="0.25">
      <c r="B403" s="173">
        <v>42844</v>
      </c>
      <c r="C403" s="217">
        <v>2338.17</v>
      </c>
      <c r="D403" s="172">
        <f t="shared" ref="D403:D406" si="533">(C403-C402)/C402</f>
        <v>-1.716342397499768E-3</v>
      </c>
      <c r="E403" s="211">
        <f t="shared" ref="E403" si="534">(C403-$C$2)/$C$2</f>
        <v>0.11212210574380245</v>
      </c>
      <c r="F403" s="221">
        <v>5863.03</v>
      </c>
      <c r="G403" s="172">
        <f t="shared" ref="G403:G406" si="535">(F403-F402)/F402</f>
        <v>2.3181587391677347E-3</v>
      </c>
      <c r="H403" s="205">
        <f t="shared" ref="H403" si="536">(F403-F$2)/F$2</f>
        <v>0.15148771530137281</v>
      </c>
      <c r="I403" s="223">
        <v>412053.83</v>
      </c>
      <c r="J403" s="174">
        <v>400000</v>
      </c>
      <c r="K403" s="174">
        <f t="shared" ref="K403" si="537">I403-I402-J403+J402</f>
        <v>-5710.7000000000116</v>
      </c>
      <c r="L403" s="172">
        <f t="shared" si="526"/>
        <v>-1.3669662189846542E-2</v>
      </c>
      <c r="M403" s="184">
        <f t="shared" ref="M403" si="538">I403-J403</f>
        <v>12053.830000000016</v>
      </c>
      <c r="N403" s="186">
        <f t="shared" ref="N403" si="539">M403/J403</f>
        <v>3.0134575000000042E-2</v>
      </c>
      <c r="O403" s="184" t="b">
        <f t="shared" ref="O403" si="540">L403&gt;D403</f>
        <v>0</v>
      </c>
      <c r="P403" s="186">
        <f>COUNTIF(O$2:O403, TRUE)/(COUNTIF(O$2:O403,FALSE) + COUNTIF(O$2:O403, TRUE))</f>
        <v>0.48258706467661694</v>
      </c>
      <c r="Q403" s="174">
        <v>290014.5</v>
      </c>
      <c r="R403" s="174">
        <f t="shared" ref="R403" si="541">I403-Q403</f>
        <v>122039.33000000002</v>
      </c>
      <c r="S403" s="174">
        <v>-34379</v>
      </c>
      <c r="T403" s="174">
        <f t="shared" ref="T403" si="542">M403-S403</f>
        <v>46432.830000000016</v>
      </c>
      <c r="U403" s="186">
        <f>STDEV(D$2:D403)*SQRT(252)</f>
        <v>0.15196666630040803</v>
      </c>
      <c r="V403" s="186">
        <f>STDEV(L$2:L403)*SQRT(252)</f>
        <v>0.32932657085630085</v>
      </c>
      <c r="W403" s="184">
        <f t="shared" ref="W403" si="543">N403/V403</f>
        <v>9.1503624871948255E-2</v>
      </c>
    </row>
    <row r="404" spans="2:23" ht="20.100000000000001" customHeight="1" x14ac:dyDescent="0.25">
      <c r="B404" s="173">
        <v>42845</v>
      </c>
      <c r="C404" s="217">
        <v>2355.84</v>
      </c>
      <c r="D404" s="172">
        <f t="shared" si="533"/>
        <v>7.5571921631019442E-3</v>
      </c>
      <c r="E404" s="211">
        <f t="shared" ref="E404" si="544">(C404-$C$2)/$C$2</f>
        <v>0.12052662620574194</v>
      </c>
      <c r="F404" s="221">
        <v>5916.77</v>
      </c>
      <c r="G404" s="172">
        <f t="shared" si="535"/>
        <v>9.1659090947855786E-3</v>
      </c>
      <c r="H404" s="205">
        <f t="shared" ref="H404" si="545">(F404-F$2)/F$2</f>
        <v>0.16204214702358755</v>
      </c>
      <c r="I404" s="223">
        <v>413381.09</v>
      </c>
      <c r="J404" s="174">
        <v>400000</v>
      </c>
      <c r="K404" s="174">
        <f t="shared" ref="K404" si="546">I404-I403-J404+J403</f>
        <v>1327.2600000000093</v>
      </c>
      <c r="L404" s="172">
        <f t="shared" si="526"/>
        <v>3.2210840025440591E-3</v>
      </c>
      <c r="M404" s="184">
        <f t="shared" ref="M404" si="547">I404-J404</f>
        <v>13381.090000000026</v>
      </c>
      <c r="N404" s="186">
        <f t="shared" ref="N404" si="548">M404/J404</f>
        <v>3.3452725000000065E-2</v>
      </c>
      <c r="O404" s="184" t="b">
        <f t="shared" ref="O404" si="549">L404&gt;D404</f>
        <v>0</v>
      </c>
      <c r="P404" s="186">
        <f>COUNTIF(O$2:O404, TRUE)/(COUNTIF(O$2:O404,FALSE) + COUNTIF(O$2:O404, TRUE))</f>
        <v>0.4813895781637717</v>
      </c>
      <c r="Q404" s="174">
        <v>286755.8</v>
      </c>
      <c r="R404" s="174">
        <f t="shared" ref="R404" si="550">I404-Q404</f>
        <v>126625.29000000004</v>
      </c>
      <c r="S404" s="174">
        <v>-34560</v>
      </c>
      <c r="T404" s="174">
        <f t="shared" ref="T404" si="551">M404-S404</f>
        <v>47941.090000000026</v>
      </c>
      <c r="U404" s="186">
        <f>STDEV(D$2:D404)*SQRT(252)</f>
        <v>0.15188546729503541</v>
      </c>
      <c r="V404" s="186">
        <f>STDEV(L$2:L404)*SQRT(252)</f>
        <v>0.32892263497234886</v>
      </c>
      <c r="W404" s="184">
        <f t="shared" ref="W404" si="552">N404/V404</f>
        <v>0.10170393108644619</v>
      </c>
    </row>
    <row r="405" spans="2:23" ht="20.100000000000001" customHeight="1" x14ac:dyDescent="0.25">
      <c r="B405" s="173">
        <v>42846</v>
      </c>
      <c r="C405" s="217">
        <v>2348.69</v>
      </c>
      <c r="D405" s="172">
        <f t="shared" si="533"/>
        <v>-3.035010866612372E-3</v>
      </c>
      <c r="E405" s="211">
        <f t="shared" ref="E405" si="553">(C405-$C$2)/$C$2</f>
        <v>0.11712581571887902</v>
      </c>
      <c r="F405" s="221">
        <v>5910.52</v>
      </c>
      <c r="G405" s="172">
        <f t="shared" si="535"/>
        <v>-1.0563195797707195E-3</v>
      </c>
      <c r="H405" s="205">
        <f t="shared" ref="H405" si="554">(F405-F$2)/F$2</f>
        <v>0.16081465915116772</v>
      </c>
      <c r="I405" s="223">
        <v>413138.88</v>
      </c>
      <c r="J405" s="174">
        <v>400000</v>
      </c>
      <c r="K405" s="174">
        <f t="shared" ref="K405" si="555">I405-I404-J405+J404</f>
        <v>-242.21000000002095</v>
      </c>
      <c r="L405" s="172">
        <f t="shared" si="526"/>
        <v>-5.8592423760850051E-4</v>
      </c>
      <c r="M405" s="184">
        <f t="shared" ref="M405" si="556">I405-J405</f>
        <v>13138.880000000005</v>
      </c>
      <c r="N405" s="186">
        <f t="shared" ref="N405" si="557">M405/J405</f>
        <v>3.2847200000000014E-2</v>
      </c>
      <c r="O405" s="184" t="b">
        <f t="shared" ref="O405" si="558">L405&gt;D405</f>
        <v>1</v>
      </c>
      <c r="P405" s="186">
        <f>COUNTIF(O$2:O405, TRUE)/(COUNTIF(O$2:O405,FALSE) + COUNTIF(O$2:O405, TRUE))</f>
        <v>0.48267326732673266</v>
      </c>
      <c r="Q405" s="174">
        <v>297467.59999999998</v>
      </c>
      <c r="R405" s="174">
        <f t="shared" ref="R405" si="559">I405-Q405</f>
        <v>115671.28000000003</v>
      </c>
      <c r="S405" s="174">
        <v>-34397</v>
      </c>
      <c r="T405" s="174">
        <f t="shared" ref="T405" si="560">M405-S405</f>
        <v>47535.880000000005</v>
      </c>
      <c r="U405" s="186">
        <f>STDEV(D$2:D405)*SQRT(252)</f>
        <v>0.15171975521586792</v>
      </c>
      <c r="V405" s="186">
        <f>STDEV(L$2:L405)*SQRT(252)</f>
        <v>0.32851445080511427</v>
      </c>
      <c r="W405" s="184">
        <f t="shared" ref="W405" si="561">N405/V405</f>
        <v>9.9987077948927333E-2</v>
      </c>
    </row>
    <row r="406" spans="2:23" ht="20.100000000000001" customHeight="1" x14ac:dyDescent="0.25">
      <c r="B406" s="246">
        <v>42849</v>
      </c>
      <c r="C406" s="336">
        <v>2374.15</v>
      </c>
      <c r="D406" s="172">
        <f t="shared" si="533"/>
        <v>1.084008532415944E-2</v>
      </c>
      <c r="E406" s="248">
        <f t="shared" ref="E406" si="562">(C406-$C$2)/$C$2</f>
        <v>0.12923555487909288</v>
      </c>
      <c r="F406" s="249">
        <v>5983.81</v>
      </c>
      <c r="G406" s="172">
        <f t="shared" si="535"/>
        <v>1.2399924202946604E-2</v>
      </c>
      <c r="H406" s="250">
        <f t="shared" ref="H406" si="563">(F406-F$2)/F$2</f>
        <v>0.17520867293831149</v>
      </c>
      <c r="I406" s="566">
        <v>413141.03</v>
      </c>
      <c r="J406" s="252">
        <v>400000</v>
      </c>
      <c r="K406" s="252">
        <f t="shared" ref="K406" si="564">I406-I405-J406+J405</f>
        <v>2.1500000000232831</v>
      </c>
      <c r="L406" s="172">
        <f t="shared" si="526"/>
        <v>5.2040611622495641E-6</v>
      </c>
      <c r="M406" s="599">
        <f t="shared" ref="M406" si="565">I406-J406</f>
        <v>13141.030000000028</v>
      </c>
      <c r="N406" s="254">
        <f t="shared" ref="N406" si="566">M406/J406</f>
        <v>3.2852575000000071E-2</v>
      </c>
      <c r="O406" s="253" t="b">
        <f t="shared" ref="O406" si="567">L406&gt;D406</f>
        <v>0</v>
      </c>
      <c r="P406" s="254">
        <f>COUNTIF(O$2:O406, TRUE)/(COUNTIF(O$2:O406,FALSE) + COUNTIF(O$2:O406, TRUE))</f>
        <v>0.48148148148148145</v>
      </c>
      <c r="Q406" s="252">
        <v>297462.59999999998</v>
      </c>
      <c r="R406" s="252">
        <f t="shared" ref="R406" si="568">I406-Q406</f>
        <v>115678.43000000005</v>
      </c>
      <c r="S406" s="252">
        <v>-34227</v>
      </c>
      <c r="T406" s="252">
        <f t="shared" ref="T406" si="569">M406-S406</f>
        <v>47368.030000000028</v>
      </c>
      <c r="U406" s="254">
        <f>STDEV(D$2:D406)*SQRT(252)</f>
        <v>0.15175900014627838</v>
      </c>
      <c r="V406" s="254">
        <f>STDEV(L$2:L406)*SQRT(252)</f>
        <v>0.32810686732873107</v>
      </c>
      <c r="W406" s="253">
        <f t="shared" ref="W406" si="570">N406/V406</f>
        <v>0.10012766653580889</v>
      </c>
    </row>
    <row r="407" spans="2:23" ht="20.100000000000001" customHeight="1" x14ac:dyDescent="0.25">
      <c r="B407" s="246">
        <v>42850</v>
      </c>
      <c r="C407" s="336">
        <v>2388.61</v>
      </c>
      <c r="D407" s="172">
        <f t="shared" ref="D407" si="571">(C407-C406)/C406</f>
        <v>6.0906008466188053E-3</v>
      </c>
      <c r="E407" s="248">
        <f t="shared" ref="E407" si="572">(C407-$C$2)/$C$2</f>
        <v>0.13611327790567154</v>
      </c>
      <c r="F407" s="249">
        <v>6025.49</v>
      </c>
      <c r="G407" s="172">
        <f t="shared" ref="G407" si="573">(F407-F406)/F406</f>
        <v>6.9654618044355313E-3</v>
      </c>
      <c r="H407" s="250">
        <f t="shared" ref="H407" si="574">(F407-F$2)/F$2</f>
        <v>0.18339454406190467</v>
      </c>
      <c r="I407" s="566">
        <v>416914.62</v>
      </c>
      <c r="J407" s="252">
        <v>400000</v>
      </c>
      <c r="K407" s="252">
        <f t="shared" ref="K407" si="575">I407-I406-J407+J406</f>
        <v>3773.5899999999674</v>
      </c>
      <c r="L407" s="172">
        <f t="shared" ref="L407:L411" si="576">K407/I406</f>
        <v>9.1339027740720089E-3</v>
      </c>
      <c r="M407" s="599">
        <f t="shared" ref="M407" si="577">I407-J407</f>
        <v>16914.619999999995</v>
      </c>
      <c r="N407" s="254">
        <f t="shared" ref="N407" si="578">M407/J407</f>
        <v>4.2286549999999985E-2</v>
      </c>
      <c r="O407" s="253" t="b">
        <f t="shared" ref="O407" si="579">L407&gt;D407</f>
        <v>1</v>
      </c>
      <c r="P407" s="254">
        <f>COUNTIF(O$2:O407, TRUE)/(COUNTIF(O$2:O407,FALSE) + COUNTIF(O$2:O407, TRUE))</f>
        <v>0.48275862068965519</v>
      </c>
      <c r="Q407" s="252">
        <v>296317.5</v>
      </c>
      <c r="R407" s="252">
        <f t="shared" ref="R407" si="580">I407-Q407</f>
        <v>120597.12</v>
      </c>
      <c r="S407" s="252">
        <v>-34395</v>
      </c>
      <c r="T407" s="252">
        <f t="shared" ref="T407" si="581">M407-S407</f>
        <v>51309.619999999995</v>
      </c>
      <c r="U407" s="254">
        <f>STDEV(D$2:D407)*SQRT(252)</f>
        <v>0.15163877531320741</v>
      </c>
      <c r="V407" s="254">
        <f>STDEV(L$2:L407)*SQRT(252)</f>
        <v>0.32777093379998218</v>
      </c>
      <c r="W407" s="253">
        <f t="shared" ref="W407" si="582">N407/V407</f>
        <v>0.12901250733173547</v>
      </c>
    </row>
    <row r="408" spans="2:23" ht="20.100000000000001" customHeight="1" x14ac:dyDescent="0.25">
      <c r="B408" s="246">
        <v>42851</v>
      </c>
      <c r="C408" s="336">
        <v>2387.4499999999998</v>
      </c>
      <c r="D408" s="172">
        <f t="shared" ref="D408" si="583">(C408-C407)/C407</f>
        <v>-4.8563809077258708E-4</v>
      </c>
      <c r="E408" s="248">
        <f t="shared" ref="E408" si="584">(C408-$C$2)/$C$2</f>
        <v>0.13556153802248805</v>
      </c>
      <c r="F408" s="249">
        <v>6025.22</v>
      </c>
      <c r="G408" s="172">
        <f t="shared" ref="G408:G411" si="585">(F408-F407)/F407</f>
        <v>-4.4809633739252256E-5</v>
      </c>
      <c r="H408" s="250">
        <f t="shared" ref="H408" si="586">(F408-F$2)/F$2</f>
        <v>0.18334151658581621</v>
      </c>
      <c r="I408" s="566">
        <v>415083.58</v>
      </c>
      <c r="J408" s="252">
        <v>400000</v>
      </c>
      <c r="K408" s="252">
        <f t="shared" ref="K408" si="587">I408-I407-J408+J407</f>
        <v>-1831.039999999979</v>
      </c>
      <c r="L408" s="172">
        <f t="shared" si="576"/>
        <v>-4.3918824434604356E-3</v>
      </c>
      <c r="M408" s="599">
        <f t="shared" ref="M408" si="588">I408-J408</f>
        <v>15083.580000000016</v>
      </c>
      <c r="N408" s="254">
        <f t="shared" ref="N408" si="589">M408/J408</f>
        <v>3.770895000000004E-2</v>
      </c>
      <c r="O408" s="253" t="b">
        <f t="shared" ref="O408" si="590">L408&gt;D408</f>
        <v>0</v>
      </c>
      <c r="P408" s="254">
        <f>COUNTIF(O$2:O408, TRUE)/(COUNTIF(O$2:O408,FALSE) + COUNTIF(O$2:O408, TRUE))</f>
        <v>0.48157248157248156</v>
      </c>
      <c r="Q408" s="252">
        <v>288089.59999999998</v>
      </c>
      <c r="R408" s="252">
        <f t="shared" ref="R408" si="591">I408-Q408</f>
        <v>126993.98000000004</v>
      </c>
      <c r="S408" s="252">
        <v>-34530</v>
      </c>
      <c r="T408" s="252">
        <f t="shared" ref="T408" si="592">M408-S408</f>
        <v>49613.580000000016</v>
      </c>
      <c r="U408" s="254">
        <f>STDEV(D$2:D408)*SQRT(252)</f>
        <v>0.15145291849813278</v>
      </c>
      <c r="V408" s="254">
        <f>STDEV(L$2:L408)*SQRT(252)</f>
        <v>0.32738912351132043</v>
      </c>
      <c r="W408" s="253">
        <f t="shared" ref="W408" si="593">N408/V408</f>
        <v>0.11518082700965521</v>
      </c>
    </row>
    <row r="409" spans="2:23" ht="20.100000000000001" customHeight="1" x14ac:dyDescent="0.25">
      <c r="B409" s="246">
        <v>42852</v>
      </c>
      <c r="C409" s="336">
        <v>2388.77</v>
      </c>
      <c r="D409" s="172">
        <f t="shared" ref="D409:D411" si="594">(C409-C408)/C408</f>
        <v>5.5289116002436227E-4</v>
      </c>
      <c r="E409" s="248">
        <f t="shared" ref="E409" si="595">(C409-$C$2)/$C$2</f>
        <v>0.13618937995852434</v>
      </c>
      <c r="F409" s="249">
        <v>6048.93</v>
      </c>
      <c r="G409" s="172">
        <f t="shared" si="585"/>
        <v>3.9351260202947005E-3</v>
      </c>
      <c r="H409" s="250">
        <f t="shared" ref="H409" si="596">(F409-F$2)/F$2</f>
        <v>0.18799811457862806</v>
      </c>
      <c r="I409" s="566">
        <v>412891.26</v>
      </c>
      <c r="J409" s="252">
        <v>400000</v>
      </c>
      <c r="K409" s="252">
        <f t="shared" ref="K409" si="597">I409-I408-J409+J408</f>
        <v>-2192.320000000007</v>
      </c>
      <c r="L409" s="172">
        <f t="shared" si="576"/>
        <v>-5.2816350866011297E-3</v>
      </c>
      <c r="M409" s="599">
        <f t="shared" ref="M409" si="598">I409-J409</f>
        <v>12891.260000000009</v>
      </c>
      <c r="N409" s="254">
        <f t="shared" ref="N409" si="599">M409/J409</f>
        <v>3.2228150000000025E-2</v>
      </c>
      <c r="O409" s="253" t="b">
        <f t="shared" ref="O409" si="600">L409&gt;D409</f>
        <v>0</v>
      </c>
      <c r="P409" s="254">
        <f>COUNTIF(O$2:O409, TRUE)/(COUNTIF(O$2:O409,FALSE) + COUNTIF(O$2:O409, TRUE))</f>
        <v>0.48039215686274511</v>
      </c>
      <c r="Q409" s="252">
        <v>288090.59999999998</v>
      </c>
      <c r="R409" s="252">
        <f t="shared" ref="R409" si="601">I409-Q409</f>
        <v>124800.66000000003</v>
      </c>
      <c r="S409" s="252">
        <v>-34529</v>
      </c>
      <c r="T409" s="252">
        <f t="shared" ref="T409" si="602">M409-S409</f>
        <v>47420.260000000009</v>
      </c>
      <c r="U409" s="254">
        <f>STDEV(D$2:D409)*SQRT(252)</f>
        <v>0.15126636249512601</v>
      </c>
      <c r="V409" s="254">
        <f>STDEV(L$2:L409)*SQRT(252)</f>
        <v>0.32701768242254636</v>
      </c>
      <c r="W409" s="253">
        <f t="shared" ref="W409" si="603">N409/V409</f>
        <v>9.8551704486601305E-2</v>
      </c>
    </row>
    <row r="410" spans="2:23" ht="20.100000000000001" customHeight="1" x14ac:dyDescent="0.25">
      <c r="B410" s="246">
        <v>42853</v>
      </c>
      <c r="C410" s="336">
        <v>2384.1999999999998</v>
      </c>
      <c r="D410" s="172">
        <f t="shared" si="594"/>
        <v>-1.913118466826092E-3</v>
      </c>
      <c r="E410" s="248">
        <f t="shared" ref="E410" si="604">(C410-$C$2)/$C$2</f>
        <v>0.13401571507391399</v>
      </c>
      <c r="F410" s="249">
        <v>6047.6</v>
      </c>
      <c r="G410" s="172">
        <f t="shared" si="585"/>
        <v>-2.1987359747921155E-4</v>
      </c>
      <c r="H410" s="250">
        <f t="shared" ref="H410" si="605">(F410-F$2)/F$2</f>
        <v>0.18773690515937713</v>
      </c>
      <c r="I410" s="665">
        <v>363198.65</v>
      </c>
      <c r="J410" s="252">
        <v>350000</v>
      </c>
      <c r="K410" s="252">
        <f t="shared" ref="K410" si="606">I410-I409-J410+J409</f>
        <v>307.39000000001397</v>
      </c>
      <c r="L410" s="172">
        <f t="shared" si="576"/>
        <v>7.4448173109795048E-4</v>
      </c>
      <c r="M410" s="419">
        <f t="shared" ref="M410" si="607">I410-J410</f>
        <v>13198.650000000023</v>
      </c>
      <c r="N410" s="254">
        <f t="shared" ref="N410" si="608">M410/J410</f>
        <v>3.7710428571428638E-2</v>
      </c>
      <c r="O410" s="253" t="b">
        <f t="shared" ref="O410" si="609">L410&gt;D410</f>
        <v>1</v>
      </c>
      <c r="P410" s="254">
        <f>COUNTIF(O$2:O410, TRUE)/(COUNTIF(O$2:O410,FALSE) + COUNTIF(O$2:O410, TRUE))</f>
        <v>0.48166259168704156</v>
      </c>
      <c r="Q410" s="252">
        <v>281056.2</v>
      </c>
      <c r="R410" s="252">
        <f t="shared" ref="R410" si="610">I410-Q410</f>
        <v>82142.450000000012</v>
      </c>
      <c r="S410" s="252">
        <v>-33907</v>
      </c>
      <c r="T410" s="252">
        <f t="shared" ref="T410" si="611">M410-S410</f>
        <v>47105.650000000023</v>
      </c>
      <c r="U410" s="254">
        <f>STDEV(D$2:D410)*SQRT(252)</f>
        <v>0.15109096913628567</v>
      </c>
      <c r="V410" s="254">
        <f>STDEV(L$2:L410)*SQRT(252)</f>
        <v>0.32661574241785396</v>
      </c>
      <c r="W410" s="253">
        <f t="shared" ref="W410" si="612">N410/V410</f>
        <v>0.11545808628900692</v>
      </c>
    </row>
    <row r="411" spans="2:23" ht="20.100000000000001" customHeight="1" x14ac:dyDescent="0.25">
      <c r="B411" s="173">
        <v>42856</v>
      </c>
      <c r="C411" s="217">
        <v>2388.33</v>
      </c>
      <c r="D411" s="172">
        <f t="shared" si="594"/>
        <v>1.7322372284204804E-3</v>
      </c>
      <c r="E411" s="211">
        <f t="shared" ref="E411" si="613">(C411-$C$2)/$C$2</f>
        <v>0.13598009931317892</v>
      </c>
      <c r="F411" s="221">
        <v>6091.6</v>
      </c>
      <c r="G411" s="172">
        <f t="shared" si="585"/>
        <v>7.2756134664991069E-3</v>
      </c>
      <c r="H411" s="205">
        <f t="shared" ref="H411" si="614">(F411-F$2)/F$2</f>
        <v>0.19637841978121268</v>
      </c>
      <c r="I411" s="223">
        <v>362499.32</v>
      </c>
      <c r="J411" s="174">
        <v>350000</v>
      </c>
      <c r="K411" s="174">
        <f t="shared" ref="K411" si="615">I411-I410-J411+J410</f>
        <v>-699.3300000000163</v>
      </c>
      <c r="L411" s="172">
        <f t="shared" si="576"/>
        <v>-1.9254752185891007E-3</v>
      </c>
      <c r="M411" s="184">
        <f t="shared" ref="M411" si="616">I411-J411</f>
        <v>12499.320000000007</v>
      </c>
      <c r="N411" s="186">
        <f t="shared" ref="N411" si="617">M411/J411</f>
        <v>3.5712342857142879E-2</v>
      </c>
      <c r="O411" s="184" t="b">
        <f t="shared" ref="O411" si="618">L411&gt;D411</f>
        <v>0</v>
      </c>
      <c r="P411" s="186">
        <f>COUNTIF(O$2:O411, TRUE)/(COUNTIF(O$2:O411,FALSE) + COUNTIF(O$2:O411, TRUE))</f>
        <v>0.48048780487804876</v>
      </c>
      <c r="Q411" s="174">
        <v>275826.90000000002</v>
      </c>
      <c r="R411" s="174">
        <f t="shared" ref="R411" si="619">I411-Q411</f>
        <v>86672.419999999984</v>
      </c>
      <c r="S411" s="174">
        <v>-33709</v>
      </c>
      <c r="T411" s="174">
        <f t="shared" ref="T411" si="620">M411-S411</f>
        <v>46208.320000000007</v>
      </c>
      <c r="U411" s="186">
        <f>STDEV(D$2:D411)*SQRT(252)</f>
        <v>0.15090957633377333</v>
      </c>
      <c r="V411" s="186">
        <f>STDEV(L$2:L411)*SQRT(252)</f>
        <v>0.32622087133744371</v>
      </c>
      <c r="W411" s="184">
        <f t="shared" ref="W411" si="621">N411/V411</f>
        <v>0.1094728939651502</v>
      </c>
    </row>
    <row r="412" spans="2:23" ht="20.100000000000001" customHeight="1" x14ac:dyDescent="0.25">
      <c r="B412" s="173">
        <v>42857</v>
      </c>
      <c r="C412" s="217">
        <v>2391.17</v>
      </c>
      <c r="D412" s="172">
        <f t="shared" ref="D412" si="622">(C412-C411)/C411</f>
        <v>1.1891154069999311E-3</v>
      </c>
      <c r="E412" s="211">
        <f t="shared" ref="E412" si="623">(C412-$C$2)/$C$2</f>
        <v>0.13733091075131751</v>
      </c>
      <c r="F412" s="221">
        <v>6095.36</v>
      </c>
      <c r="G412" s="172">
        <f t="shared" ref="G412:G441" si="624">(F412-F411)/F411</f>
        <v>6.1724341716450667E-4</v>
      </c>
      <c r="H412" s="205">
        <f t="shared" ref="H412" si="625">(F412-F$2)/F$2</f>
        <v>0.1971168764852603</v>
      </c>
      <c r="I412" s="223">
        <v>359669.82</v>
      </c>
      <c r="J412" s="174">
        <v>350000</v>
      </c>
      <c r="K412" s="174">
        <f t="shared" ref="K412" si="626">I412-I411-J412+J411</f>
        <v>-2829.5</v>
      </c>
      <c r="L412" s="172">
        <f t="shared" ref="L412:L441" si="627">K412/I411</f>
        <v>-7.8055318834804989E-3</v>
      </c>
      <c r="M412" s="184">
        <f t="shared" ref="M412" si="628">I412-J412</f>
        <v>9669.820000000007</v>
      </c>
      <c r="N412" s="186">
        <f t="shared" ref="N412" si="629">M412/J412</f>
        <v>2.7628057142857161E-2</v>
      </c>
      <c r="O412" s="184" t="b">
        <f t="shared" ref="O412" si="630">L412&gt;D412</f>
        <v>0</v>
      </c>
      <c r="P412" s="186">
        <f>COUNTIF(O$2:O412, TRUE)/(COUNTIF(O$2:O412,FALSE) + COUNTIF(O$2:O412, TRUE))</f>
        <v>0.47931873479318737</v>
      </c>
      <c r="Q412" s="174">
        <v>278414.40000000002</v>
      </c>
      <c r="R412" s="174">
        <f t="shared" ref="R412" si="631">I412-Q412</f>
        <v>81255.419999999984</v>
      </c>
      <c r="S412" s="174">
        <v>-34708</v>
      </c>
      <c r="T412" s="174">
        <f t="shared" ref="T412" si="632">M412-S412</f>
        <v>44377.820000000007</v>
      </c>
      <c r="U412" s="186">
        <f>STDEV(D$2:D412)*SQRT(252)</f>
        <v>0.1507263900275706</v>
      </c>
      <c r="V412" s="186">
        <f>STDEV(L$2:L412)*SQRT(252)</f>
        <v>0.32588707199779721</v>
      </c>
      <c r="W412" s="184">
        <f t="shared" ref="W412" si="633">N412/V412</f>
        <v>8.4778009061506773E-2</v>
      </c>
    </row>
    <row r="413" spans="2:23" ht="20.100000000000001" customHeight="1" x14ac:dyDescent="0.25">
      <c r="B413" s="173">
        <v>42858</v>
      </c>
      <c r="C413" s="217">
        <v>2388.13</v>
      </c>
      <c r="D413" s="172">
        <f t="shared" ref="D413" si="634">(C413-C412)/C412</f>
        <v>-1.2713441536988017E-3</v>
      </c>
      <c r="E413" s="211">
        <f t="shared" ref="E413" si="635">(C413-$C$2)/$C$2</f>
        <v>0.13588497174711289</v>
      </c>
      <c r="F413" s="221">
        <v>6072.55</v>
      </c>
      <c r="G413" s="172">
        <f t="shared" si="624"/>
        <v>-3.7421907811842929E-3</v>
      </c>
      <c r="H413" s="205">
        <f t="shared" ref="H413" si="636">(F413-F$2)/F$2</f>
        <v>0.19263703674607702</v>
      </c>
      <c r="I413" s="223">
        <v>359426.22</v>
      </c>
      <c r="J413" s="174">
        <v>350000</v>
      </c>
      <c r="K413" s="174">
        <f t="shared" ref="K413" si="637">I413-I412-J413+J412</f>
        <v>-243.60000000003492</v>
      </c>
      <c r="L413" s="172">
        <f t="shared" si="627"/>
        <v>-6.7728785250882302E-4</v>
      </c>
      <c r="M413" s="184">
        <f t="shared" ref="M413" si="638">I413-J413</f>
        <v>9426.2199999999721</v>
      </c>
      <c r="N413" s="186">
        <f t="shared" ref="N413" si="639">M413/J413</f>
        <v>2.6932057142857062E-2</v>
      </c>
      <c r="O413" s="184" t="b">
        <f t="shared" ref="O413" si="640">L413&gt;D413</f>
        <v>1</v>
      </c>
      <c r="P413" s="186">
        <f>COUNTIF(O$2:O413, TRUE)/(COUNTIF(O$2:O413,FALSE) + COUNTIF(O$2:O413, TRUE))</f>
        <v>0.48058252427184467</v>
      </c>
      <c r="Q413" s="174">
        <v>280568.8</v>
      </c>
      <c r="R413" s="174">
        <f t="shared" ref="R413" si="641">I413-Q413</f>
        <v>78857.419999999984</v>
      </c>
      <c r="S413" s="174">
        <v>-36065</v>
      </c>
      <c r="T413" s="174">
        <f t="shared" ref="T413" si="642">M413-S413</f>
        <v>45491.219999999972</v>
      </c>
      <c r="U413" s="186">
        <f>STDEV(D$2:D413)*SQRT(252)</f>
        <v>0.1505478764486444</v>
      </c>
      <c r="V413" s="186">
        <f>STDEV(L$2:L413)*SQRT(252)</f>
        <v>0.32549069352237764</v>
      </c>
      <c r="W413" s="184">
        <f t="shared" ref="W413" si="643">N413/V413</f>
        <v>8.274294067030051E-2</v>
      </c>
    </row>
    <row r="414" spans="2:23" ht="20.100000000000001" customHeight="1" x14ac:dyDescent="0.25">
      <c r="B414" s="173">
        <v>42859</v>
      </c>
      <c r="C414" s="217">
        <v>2389.52</v>
      </c>
      <c r="D414" s="172">
        <f t="shared" ref="D414:D426" si="644">(C414-C413)/C413</f>
        <v>5.8204536603948388E-4</v>
      </c>
      <c r="E414" s="211">
        <f t="shared" ref="E414" si="645">(C414-$C$2)/$C$2</f>
        <v>0.1365461083312722</v>
      </c>
      <c r="F414" s="221">
        <v>6075.33</v>
      </c>
      <c r="G414" s="172">
        <f t="shared" si="624"/>
        <v>4.5779779499547063E-4</v>
      </c>
      <c r="H414" s="205">
        <f t="shared" ref="H414" si="646">(F414-F$2)/F$2</f>
        <v>0.19318302335172932</v>
      </c>
      <c r="I414" s="223">
        <v>354486.32</v>
      </c>
      <c r="J414" s="174">
        <v>350000</v>
      </c>
      <c r="K414" s="174">
        <f t="shared" ref="K414" si="647">I414-I413-J414+J413</f>
        <v>-4939.8999999999651</v>
      </c>
      <c r="L414" s="172">
        <f t="shared" si="627"/>
        <v>-1.3743849850464347E-2</v>
      </c>
      <c r="M414" s="184">
        <f t="shared" ref="M414" si="648">I414-J414</f>
        <v>4486.320000000007</v>
      </c>
      <c r="N414" s="186">
        <f t="shared" ref="N414" si="649">M414/J414</f>
        <v>1.2818057142857163E-2</v>
      </c>
      <c r="O414" s="184" t="b">
        <f t="shared" ref="O414" si="650">L414&gt;D414</f>
        <v>0</v>
      </c>
      <c r="P414" s="186">
        <f>COUNTIF(O$2:O414, TRUE)/(COUNTIF(O$2:O414,FALSE) + COUNTIF(O$2:O414, TRUE))</f>
        <v>0.47941888619854722</v>
      </c>
      <c r="Q414" s="174">
        <v>275628.90000000002</v>
      </c>
      <c r="R414" s="174">
        <f t="shared" ref="R414" si="651">I414-Q414</f>
        <v>78857.419999999984</v>
      </c>
      <c r="S414" s="174">
        <v>-36518</v>
      </c>
      <c r="T414" s="174">
        <f t="shared" ref="T414" si="652">M414-S414</f>
        <v>41004.320000000007</v>
      </c>
      <c r="U414" s="186">
        <f>STDEV(D$2:D414)*SQRT(252)</f>
        <v>0.15036472166048559</v>
      </c>
      <c r="V414" s="186">
        <f>STDEV(L$2:L414)*SQRT(252)</f>
        <v>0.32528498931668604</v>
      </c>
      <c r="W414" s="184">
        <f t="shared" ref="W414" si="653">N414/V414</f>
        <v>3.9405621420722715E-2</v>
      </c>
    </row>
    <row r="415" spans="2:23" ht="20.100000000000001" customHeight="1" x14ac:dyDescent="0.25">
      <c r="B415" s="173">
        <v>42860</v>
      </c>
      <c r="C415" s="217">
        <v>2399.29</v>
      </c>
      <c r="D415" s="172">
        <f t="shared" si="644"/>
        <v>4.0886872677357716E-3</v>
      </c>
      <c r="E415" s="211">
        <f t="shared" ref="E415" si="654">(C415-$C$2)/$C$2</f>
        <v>0.14119308993360091</v>
      </c>
      <c r="F415" s="221">
        <v>6100.75</v>
      </c>
      <c r="G415" s="172">
        <f t="shared" si="624"/>
        <v>4.1841348535799818E-3</v>
      </c>
      <c r="H415" s="205">
        <f t="shared" ref="H415" si="655">(F415-F$2)/F$2</f>
        <v>0.19817546202643521</v>
      </c>
      <c r="I415" s="223">
        <v>357180.36</v>
      </c>
      <c r="J415" s="174">
        <v>350000</v>
      </c>
      <c r="K415" s="174">
        <f t="shared" ref="K415" si="656">I415-I414-J415+J414</f>
        <v>2694.039999999979</v>
      </c>
      <c r="L415" s="172">
        <f t="shared" si="627"/>
        <v>7.5998419346619047E-3</v>
      </c>
      <c r="M415" s="184">
        <f t="shared" ref="M415" si="657">I415-J415</f>
        <v>7180.359999999986</v>
      </c>
      <c r="N415" s="186">
        <f t="shared" ref="N415" si="658">M415/J415</f>
        <v>2.0515314285714247E-2</v>
      </c>
      <c r="O415" s="184" t="b">
        <f t="shared" ref="O415" si="659">L415&gt;D415</f>
        <v>1</v>
      </c>
      <c r="P415" s="186">
        <f>COUNTIF(O$2:O415, TRUE)/(COUNTIF(O$2:O415,FALSE) + COUNTIF(O$2:O415, TRUE))</f>
        <v>0.48067632850241548</v>
      </c>
      <c r="Q415" s="174">
        <v>279741</v>
      </c>
      <c r="R415" s="174">
        <f t="shared" ref="R415" si="660">I415-Q415</f>
        <v>77439.359999999986</v>
      </c>
      <c r="S415" s="174">
        <v>-36093</v>
      </c>
      <c r="T415" s="174">
        <f t="shared" ref="T415" si="661">M415-S415</f>
        <v>43273.359999999986</v>
      </c>
      <c r="U415" s="186">
        <f>STDEV(D$2:D415)*SQRT(252)</f>
        <v>0.15021044016687626</v>
      </c>
      <c r="V415" s="186">
        <f>STDEV(L$2:L415)*SQRT(252)</f>
        <v>0.32493792680240624</v>
      </c>
      <c r="W415" s="184">
        <f t="shared" ref="W415" si="662">N415/V415</f>
        <v>6.3136102601496394E-2</v>
      </c>
    </row>
    <row r="416" spans="2:23" ht="20.100000000000001" customHeight="1" x14ac:dyDescent="0.25">
      <c r="B416" s="246">
        <v>42863</v>
      </c>
      <c r="C416" s="336">
        <v>2399.38</v>
      </c>
      <c r="D416" s="172">
        <f t="shared" si="644"/>
        <v>3.7511097032932877E-5</v>
      </c>
      <c r="E416" s="248">
        <f t="shared" ref="E416" si="663">(C416-$C$2)/$C$2</f>
        <v>0.14123589733833072</v>
      </c>
      <c r="F416" s="249">
        <v>6102.66</v>
      </c>
      <c r="G416" s="172">
        <f t="shared" si="624"/>
        <v>3.1307626111541279E-4</v>
      </c>
      <c r="H416" s="250">
        <f t="shared" ref="H416" si="664">(F416-F$2)/F$2</f>
        <v>0.19855058232024669</v>
      </c>
      <c r="I416" s="566">
        <v>358405.67</v>
      </c>
      <c r="J416" s="252">
        <v>350000</v>
      </c>
      <c r="K416" s="252">
        <f t="shared" ref="K416" si="665">I416-I415-J416+J415</f>
        <v>1225.3099999999977</v>
      </c>
      <c r="L416" s="172">
        <f t="shared" si="627"/>
        <v>3.4305077692401613E-3</v>
      </c>
      <c r="M416" s="599">
        <f t="shared" ref="M416" si="666">I416-J416</f>
        <v>8405.6699999999837</v>
      </c>
      <c r="N416" s="254">
        <f t="shared" ref="N416" si="667">M416/J416</f>
        <v>2.4016199999999953E-2</v>
      </c>
      <c r="O416" s="253" t="b">
        <f t="shared" ref="O416" si="668">L416&gt;D416</f>
        <v>1</v>
      </c>
      <c r="P416" s="254">
        <f>COUNTIF(O$2:O416, TRUE)/(COUNTIF(O$2:O416,FALSE) + COUNTIF(O$2:O416, TRUE))</f>
        <v>0.48192771084337349</v>
      </c>
      <c r="Q416" s="252">
        <v>276684</v>
      </c>
      <c r="R416" s="252">
        <f t="shared" ref="R416" si="669">I416-Q416</f>
        <v>81721.669999999984</v>
      </c>
      <c r="S416" s="252">
        <v>-35635</v>
      </c>
      <c r="T416" s="252">
        <f t="shared" ref="T416" si="670">M416-S416</f>
        <v>44040.669999999984</v>
      </c>
      <c r="U416" s="254">
        <f>STDEV(D$2:D416)*SQRT(252)</f>
        <v>0.15002869389277509</v>
      </c>
      <c r="V416" s="254">
        <f>STDEV(L$2:L416)*SQRT(252)</f>
        <v>0.32455251041041699</v>
      </c>
      <c r="W416" s="253">
        <f t="shared" ref="W416" si="671">N416/V416</f>
        <v>7.3997887027988055E-2</v>
      </c>
    </row>
    <row r="417" spans="2:23" ht="20.100000000000001" customHeight="1" x14ac:dyDescent="0.25">
      <c r="B417" s="246">
        <v>42864</v>
      </c>
      <c r="C417" s="336">
        <v>2396.92</v>
      </c>
      <c r="D417" s="172">
        <f t="shared" si="644"/>
        <v>-1.0252648600888713E-3</v>
      </c>
      <c r="E417" s="248">
        <f t="shared" ref="E417" si="672">(C417-$C$2)/$C$2</f>
        <v>0.14006582827571773</v>
      </c>
      <c r="F417" s="249">
        <v>6120.58</v>
      </c>
      <c r="G417" s="172">
        <f t="shared" si="624"/>
        <v>2.9364244444226081E-3</v>
      </c>
      <c r="H417" s="250">
        <f t="shared" ref="H417" si="673">(F417-F$2)/F$2</f>
        <v>0.20207003554804881</v>
      </c>
      <c r="I417" s="566">
        <v>357612.56</v>
      </c>
      <c r="J417" s="252">
        <v>350000</v>
      </c>
      <c r="K417" s="252">
        <f t="shared" ref="K417" si="674">I417-I416-J417+J416</f>
        <v>-793.10999999998603</v>
      </c>
      <c r="L417" s="172">
        <f t="shared" si="627"/>
        <v>-2.2128835182768903E-3</v>
      </c>
      <c r="M417" s="599">
        <f t="shared" ref="M417" si="675">I417-J417</f>
        <v>7612.5599999999977</v>
      </c>
      <c r="N417" s="254">
        <f t="shared" ref="N417" si="676">M417/J417</f>
        <v>2.1750171428571424E-2</v>
      </c>
      <c r="O417" s="253" t="b">
        <f t="shared" ref="O417" si="677">L417&gt;D417</f>
        <v>0</v>
      </c>
      <c r="P417" s="254">
        <f>COUNTIF(O$2:O417, TRUE)/(COUNTIF(O$2:O417,FALSE) + COUNTIF(O$2:O417, TRUE))</f>
        <v>0.48076923076923078</v>
      </c>
      <c r="Q417" s="252">
        <v>250918.6</v>
      </c>
      <c r="R417" s="252">
        <f t="shared" ref="R417" si="678">I417-Q417</f>
        <v>106693.95999999999</v>
      </c>
      <c r="S417" s="252">
        <v>-36105</v>
      </c>
      <c r="T417" s="252">
        <f t="shared" ref="T417" si="679">M417-S417</f>
        <v>43717.56</v>
      </c>
      <c r="U417" s="254">
        <f>STDEV(D$2:D417)*SQRT(252)</f>
        <v>0.1498512986426479</v>
      </c>
      <c r="V417" s="254">
        <f>STDEV(L$2:L417)*SQRT(252)</f>
        <v>0.32416708817907541</v>
      </c>
      <c r="W417" s="253">
        <f t="shared" ref="W417" si="680">N417/V417</f>
        <v>6.7095557265690886E-2</v>
      </c>
    </row>
    <row r="418" spans="2:23" ht="20.100000000000001" customHeight="1" x14ac:dyDescent="0.25">
      <c r="B418" s="246">
        <v>42865</v>
      </c>
      <c r="C418" s="336">
        <v>2399.63</v>
      </c>
      <c r="D418" s="172">
        <f t="shared" si="644"/>
        <v>1.1306176259533219E-3</v>
      </c>
      <c r="E418" s="248">
        <f t="shared" ref="E418" si="681">(C418-$C$2)/$C$2</f>
        <v>0.14135480679591333</v>
      </c>
      <c r="F418" s="249">
        <v>6129.14</v>
      </c>
      <c r="G418" s="172">
        <f t="shared" si="624"/>
        <v>1.3985602671642884E-3</v>
      </c>
      <c r="H418" s="250">
        <f t="shared" ref="H418" si="682">(F418-F$2)/F$2</f>
        <v>0.20375120293811508</v>
      </c>
      <c r="I418" s="566">
        <v>364191.11</v>
      </c>
      <c r="J418" s="252">
        <v>350000</v>
      </c>
      <c r="K418" s="252">
        <f t="shared" ref="K418" si="683">I418-I417-J418+J417</f>
        <v>6578.5499999999884</v>
      </c>
      <c r="L418" s="172">
        <f t="shared" si="627"/>
        <v>1.839574650286329E-2</v>
      </c>
      <c r="M418" s="599">
        <f t="shared" ref="M418" si="684">I418-J418</f>
        <v>14191.109999999986</v>
      </c>
      <c r="N418" s="254">
        <f t="shared" ref="N418" si="685">M418/J418</f>
        <v>4.0546028571428534E-2</v>
      </c>
      <c r="O418" s="253" t="b">
        <f t="shared" ref="O418" si="686">L418&gt;D418</f>
        <v>1</v>
      </c>
      <c r="P418" s="254">
        <f>COUNTIF(O$2:O418, TRUE)/(COUNTIF(O$2:O418,FALSE) + COUNTIF(O$2:O418, TRUE))</f>
        <v>0.48201438848920863</v>
      </c>
      <c r="Q418" s="252">
        <v>261546.2</v>
      </c>
      <c r="R418" s="252">
        <f t="shared" ref="R418" si="687">I418-Q418</f>
        <v>102644.90999999997</v>
      </c>
      <c r="S418" s="252">
        <v>-32756</v>
      </c>
      <c r="T418" s="252">
        <f t="shared" ref="T418" si="688">M418-S418</f>
        <v>46947.109999999986</v>
      </c>
      <c r="U418" s="254">
        <f>STDEV(D$2:D418)*SQRT(252)</f>
        <v>0.14967184694168775</v>
      </c>
      <c r="V418" s="254">
        <f>STDEV(L$2:L418)*SQRT(252)</f>
        <v>0.32407666797384388</v>
      </c>
      <c r="W418" s="253">
        <f t="shared" ref="W418" si="689">N418/V418</f>
        <v>0.12511245818752059</v>
      </c>
    </row>
    <row r="419" spans="2:23" ht="20.100000000000001" customHeight="1" x14ac:dyDescent="0.25">
      <c r="B419" s="246">
        <v>42866</v>
      </c>
      <c r="C419" s="336">
        <v>2394.44</v>
      </c>
      <c r="D419" s="172">
        <f t="shared" si="644"/>
        <v>-2.1628334368215328E-3</v>
      </c>
      <c r="E419" s="248">
        <f t="shared" ref="E419" si="690">(C419-$C$2)/$C$2</f>
        <v>0.13888624645649816</v>
      </c>
      <c r="F419" s="249">
        <v>6115.96</v>
      </c>
      <c r="G419" s="172">
        <f t="shared" si="624"/>
        <v>-2.1503832511576321E-3</v>
      </c>
      <c r="H419" s="250">
        <f t="shared" ref="H419" si="691">(F419-F$2)/F$2</f>
        <v>0.2011626765127561</v>
      </c>
      <c r="I419" s="566">
        <v>363186.71</v>
      </c>
      <c r="J419" s="252">
        <v>350000</v>
      </c>
      <c r="K419" s="252">
        <f t="shared" ref="K419" si="692">I419-I418-J419+J418</f>
        <v>-1004.3999999999651</v>
      </c>
      <c r="L419" s="172">
        <f t="shared" si="627"/>
        <v>-2.7578926899120768E-3</v>
      </c>
      <c r="M419" s="599">
        <f t="shared" ref="M419" si="693">I419-J419</f>
        <v>13186.710000000021</v>
      </c>
      <c r="N419" s="254">
        <f t="shared" ref="N419" si="694">M419/J419</f>
        <v>3.7676314285714343E-2</v>
      </c>
      <c r="O419" s="253" t="b">
        <f t="shared" ref="O419" si="695">L419&gt;D419</f>
        <v>0</v>
      </c>
      <c r="P419" s="254">
        <f>COUNTIF(O$2:O419, TRUE)/(COUNTIF(O$2:O419,FALSE) + COUNTIF(O$2:O419, TRUE))</f>
        <v>0.48086124401913877</v>
      </c>
      <c r="Q419" s="252">
        <v>265284.09999999998</v>
      </c>
      <c r="R419" s="252">
        <f t="shared" ref="R419" si="696">I419-Q419</f>
        <v>97902.610000000044</v>
      </c>
      <c r="S419" s="252">
        <v>-32128</v>
      </c>
      <c r="T419" s="252">
        <f t="shared" ref="T419" si="697">M419-S419</f>
        <v>45314.710000000021</v>
      </c>
      <c r="U419" s="254">
        <f>STDEV(D$2:D419)*SQRT(252)</f>
        <v>0.14950473025316971</v>
      </c>
      <c r="V419" s="254">
        <f>STDEV(L$2:L419)*SQRT(252)</f>
        <v>0.32369692065240813</v>
      </c>
      <c r="W419" s="253">
        <f t="shared" ref="W419" si="698">N419/V419</f>
        <v>0.11639379889613433</v>
      </c>
    </row>
    <row r="420" spans="2:23" ht="20.100000000000001" customHeight="1" x14ac:dyDescent="0.25">
      <c r="B420" s="246">
        <v>42867</v>
      </c>
      <c r="C420" s="336">
        <v>2390.9</v>
      </c>
      <c r="D420" s="172">
        <f t="shared" si="644"/>
        <v>-1.4784250179582547E-3</v>
      </c>
      <c r="E420" s="248">
        <f t="shared" ref="E420" si="699">(C420-$C$2)/$C$2</f>
        <v>0.1372024885371283</v>
      </c>
      <c r="F420" s="249">
        <v>6121.23</v>
      </c>
      <c r="G420" s="172">
        <f t="shared" si="624"/>
        <v>8.6167993250438639E-4</v>
      </c>
      <c r="H420" s="250">
        <f t="shared" ref="H420" si="700">(F420-F$2)/F$2</f>
        <v>0.20219769428678042</v>
      </c>
      <c r="I420" s="566">
        <v>359448.71</v>
      </c>
      <c r="J420" s="252">
        <v>350000</v>
      </c>
      <c r="K420" s="252">
        <f t="shared" ref="K420" si="701">I420-I419-J420+J419</f>
        <v>-3738</v>
      </c>
      <c r="L420" s="172">
        <f t="shared" si="627"/>
        <v>-1.0292226827352795E-2</v>
      </c>
      <c r="M420" s="599">
        <f t="shared" ref="M420" si="702">I420-J420</f>
        <v>9448.710000000021</v>
      </c>
      <c r="N420" s="254">
        <f t="shared" ref="N420" si="703">M420/J420</f>
        <v>2.6996314285714345E-2</v>
      </c>
      <c r="O420" s="253" t="b">
        <f t="shared" ref="O420" si="704">L420&gt;D420</f>
        <v>0</v>
      </c>
      <c r="P420" s="254">
        <f>COUNTIF(O$2:O420, TRUE)/(COUNTIF(O$2:O420,FALSE) + COUNTIF(O$2:O420, TRUE))</f>
        <v>0.47971360381861577</v>
      </c>
      <c r="Q420" s="252">
        <v>266142.09999999998</v>
      </c>
      <c r="R420" s="252">
        <f t="shared" ref="R420" si="705">I420-Q420</f>
        <v>93306.610000000044</v>
      </c>
      <c r="S420" s="252">
        <v>-32431</v>
      </c>
      <c r="T420" s="252">
        <f t="shared" ref="T420" si="706">M420-S420</f>
        <v>41879.710000000021</v>
      </c>
      <c r="U420" s="254">
        <f>STDEV(D$2:D420)*SQRT(252)</f>
        <v>0.14933215368764829</v>
      </c>
      <c r="V420" s="254">
        <f>STDEV(L$2:L420)*SQRT(252)</f>
        <v>0.32341728992205637</v>
      </c>
      <c r="W420" s="253">
        <f t="shared" ref="W420" si="707">N420/V420</f>
        <v>8.3472081199556347E-2</v>
      </c>
    </row>
    <row r="421" spans="2:23" ht="20.100000000000001" customHeight="1" x14ac:dyDescent="0.25">
      <c r="B421" s="173">
        <v>42870</v>
      </c>
      <c r="C421" s="217">
        <v>2402.3200000000002</v>
      </c>
      <c r="D421" s="172">
        <f t="shared" si="644"/>
        <v>4.7764440168974326E-3</v>
      </c>
      <c r="E421" s="211">
        <f t="shared" ref="E421" si="708">(C421-$C$2)/$C$2</f>
        <v>0.14263427255950234</v>
      </c>
      <c r="F421" s="221">
        <v>6149.47</v>
      </c>
      <c r="G421" s="172">
        <f t="shared" si="624"/>
        <v>4.6134518716010823E-3</v>
      </c>
      <c r="H421" s="205">
        <f t="shared" ref="H421" si="709">(F421-F$2)/F$2</f>
        <v>0.20774397548952225</v>
      </c>
      <c r="I421" s="223">
        <v>361662.81</v>
      </c>
      <c r="J421" s="174">
        <v>350000</v>
      </c>
      <c r="K421" s="174">
        <f t="shared" ref="K421" si="710">I421-I420-J421+J420</f>
        <v>2214.0999999999767</v>
      </c>
      <c r="L421" s="172">
        <f t="shared" si="627"/>
        <v>6.1597105189220925E-3</v>
      </c>
      <c r="M421" s="184">
        <f t="shared" ref="M421" si="711">I421-J421</f>
        <v>11662.809999999998</v>
      </c>
      <c r="N421" s="186">
        <f t="shared" ref="N421" si="712">M421/J421</f>
        <v>3.3322314285714277E-2</v>
      </c>
      <c r="O421" s="184" t="b">
        <f t="shared" ref="O421" si="713">L421&gt;D421</f>
        <v>1</v>
      </c>
      <c r="P421" s="186">
        <f>COUNTIF(O$2:O421, TRUE)/(COUNTIF(O$2:O421,FALSE) + COUNTIF(O$2:O421, TRUE))</f>
        <v>0.48095238095238096</v>
      </c>
      <c r="Q421" s="174">
        <v>268356.2</v>
      </c>
      <c r="R421" s="174">
        <f t="shared" ref="R421" si="714">I421-Q421</f>
        <v>93306.609999999986</v>
      </c>
      <c r="S421" s="174">
        <v>-31638</v>
      </c>
      <c r="T421" s="174">
        <f t="shared" ref="T421" si="715">M421-S421</f>
        <v>43300.81</v>
      </c>
      <c r="U421" s="186">
        <f>STDEV(D$2:D421)*SQRT(252)</f>
        <v>0.14919288792479243</v>
      </c>
      <c r="V421" s="186">
        <f>STDEV(L$2:L421)*SQRT(252)</f>
        <v>0.32306020565165067</v>
      </c>
      <c r="W421" s="184">
        <f t="shared" ref="W421" si="716">N421/V421</f>
        <v>0.103145833819115</v>
      </c>
    </row>
    <row r="422" spans="2:23" ht="20.100000000000001" customHeight="1" x14ac:dyDescent="0.25">
      <c r="B422" s="173">
        <v>42871</v>
      </c>
      <c r="C422" s="217">
        <v>2400.67</v>
      </c>
      <c r="D422" s="172">
        <f t="shared" si="644"/>
        <v>-6.8683605847684362E-4</v>
      </c>
      <c r="E422" s="211">
        <f t="shared" ref="E422" si="717">(C422-$C$2)/$C$2</f>
        <v>0.14184947013945701</v>
      </c>
      <c r="F422" s="221">
        <v>6169.87</v>
      </c>
      <c r="G422" s="172">
        <f t="shared" si="624"/>
        <v>3.3173590569593211E-3</v>
      </c>
      <c r="H422" s="205">
        <f t="shared" ref="H422" si="718">(F422-F$2)/F$2</f>
        <v>0.21175049590510048</v>
      </c>
      <c r="I422" s="223">
        <v>359481.11</v>
      </c>
      <c r="J422" s="174">
        <v>350000</v>
      </c>
      <c r="K422" s="174">
        <f t="shared" ref="K422" si="719">I422-I421-J422+J421</f>
        <v>-2181.7000000000116</v>
      </c>
      <c r="L422" s="172">
        <f t="shared" si="627"/>
        <v>-6.0324145576372964E-3</v>
      </c>
      <c r="M422" s="184">
        <f t="shared" ref="M422" si="720">I422-J422</f>
        <v>9481.109999999986</v>
      </c>
      <c r="N422" s="186">
        <f t="shared" ref="N422" si="721">M422/J422</f>
        <v>2.7088885714285676E-2</v>
      </c>
      <c r="O422" s="184" t="b">
        <f t="shared" ref="O422" si="722">L422&gt;D422</f>
        <v>0</v>
      </c>
      <c r="P422" s="186">
        <f>COUNTIF(O$2:O422, TRUE)/(COUNTIF(O$2:O422,FALSE) + COUNTIF(O$2:O422, TRUE))</f>
        <v>0.47980997624703087</v>
      </c>
      <c r="Q422" s="174">
        <v>272441</v>
      </c>
      <c r="R422" s="174">
        <f t="shared" ref="R422" si="723">I422-Q422</f>
        <v>87040.109999999986</v>
      </c>
      <c r="S422" s="174">
        <v>-31956</v>
      </c>
      <c r="T422" s="174">
        <f t="shared" ref="T422" si="724">M422-S422</f>
        <v>41437.109999999986</v>
      </c>
      <c r="U422" s="186">
        <f>STDEV(D$2:D422)*SQRT(252)</f>
        <v>0.1490169627374561</v>
      </c>
      <c r="V422" s="186">
        <f>STDEV(L$2:L422)*SQRT(252)</f>
        <v>0.32271407708105421</v>
      </c>
      <c r="W422" s="184">
        <f t="shared" ref="W422" si="725">N422/V422</f>
        <v>8.3940824519662713E-2</v>
      </c>
    </row>
    <row r="423" spans="2:23" ht="20.100000000000001" customHeight="1" x14ac:dyDescent="0.25">
      <c r="B423" s="173">
        <v>42872</v>
      </c>
      <c r="C423" s="217">
        <v>2357.0300000000002</v>
      </c>
      <c r="D423" s="172">
        <f t="shared" si="644"/>
        <v>-1.8178258569482634E-2</v>
      </c>
      <c r="E423" s="211">
        <f t="shared" ref="E423" si="726">(C423-$C$2)/$C$2</f>
        <v>0.12109263522383523</v>
      </c>
      <c r="F423" s="221">
        <v>6011.23</v>
      </c>
      <c r="G423" s="172">
        <f t="shared" si="624"/>
        <v>-2.5712049038310422E-2</v>
      </c>
      <c r="H423" s="205">
        <f t="shared" ref="H423" si="727">(F423-F$2)/F$2</f>
        <v>0.18059390773219156</v>
      </c>
      <c r="I423" s="223">
        <v>358002.43</v>
      </c>
      <c r="J423" s="174">
        <v>350000</v>
      </c>
      <c r="K423" s="174">
        <f t="shared" ref="K423" si="728">I423-I422-J423+J422</f>
        <v>-1478.679999999993</v>
      </c>
      <c r="L423" s="172">
        <f t="shared" si="627"/>
        <v>-4.1133733007556175E-3</v>
      </c>
      <c r="M423" s="184">
        <f t="shared" ref="M423" si="729">I423-J423</f>
        <v>8002.429999999993</v>
      </c>
      <c r="N423" s="186">
        <f t="shared" ref="N423" si="730">M423/J423</f>
        <v>2.2864085714285696E-2</v>
      </c>
      <c r="O423" s="184" t="b">
        <f t="shared" ref="O423" si="731">L423&gt;D423</f>
        <v>1</v>
      </c>
      <c r="P423" s="186">
        <f>COUNTIF(O$2:O423, TRUE)/(COUNTIF(O$2:O423,FALSE) + COUNTIF(O$2:O423, TRUE))</f>
        <v>0.48104265402843605</v>
      </c>
      <c r="Q423" s="174">
        <v>277243.34999999998</v>
      </c>
      <c r="R423" s="174">
        <f t="shared" ref="R423" si="732">I423-Q423</f>
        <v>80759.080000000016</v>
      </c>
      <c r="S423" s="174">
        <v>-31003</v>
      </c>
      <c r="T423" s="174">
        <f t="shared" ref="T423" si="733">M423-S423</f>
        <v>39005.429999999993</v>
      </c>
      <c r="U423" s="186">
        <f>STDEV(D$2:D423)*SQRT(252)</f>
        <v>0.1495288876053591</v>
      </c>
      <c r="V423" s="186">
        <f>STDEV(L$2:L423)*SQRT(252)</f>
        <v>0.32234925335581999</v>
      </c>
      <c r="W423" s="184">
        <f t="shared" ref="W423" si="734">N423/V423</f>
        <v>7.0929544511919643E-2</v>
      </c>
    </row>
    <row r="424" spans="2:23" ht="20.100000000000001" customHeight="1" x14ac:dyDescent="0.25">
      <c r="B424" s="173">
        <v>42873</v>
      </c>
      <c r="C424" s="217">
        <v>2365.7199999999998</v>
      </c>
      <c r="D424" s="172">
        <f t="shared" si="644"/>
        <v>3.686843188249449E-3</v>
      </c>
      <c r="E424" s="211">
        <f t="shared" ref="E424" si="735">(C424-$C$2)/$C$2</f>
        <v>0.12522592796940685</v>
      </c>
      <c r="F424" s="221">
        <v>6055.13</v>
      </c>
      <c r="G424" s="172">
        <f t="shared" si="624"/>
        <v>7.3029978889512714E-3</v>
      </c>
      <c r="H424" s="205">
        <f t="shared" ref="H424" si="736">(F424-F$2)/F$2</f>
        <v>0.18921578254806848</v>
      </c>
      <c r="I424" s="223">
        <v>358058.63</v>
      </c>
      <c r="J424" s="174">
        <v>350000</v>
      </c>
      <c r="K424" s="174">
        <f t="shared" ref="K424" si="737">I424-I423-J424+J423</f>
        <v>56.200000000011642</v>
      </c>
      <c r="L424" s="172">
        <f t="shared" si="627"/>
        <v>1.5698217467409827E-4</v>
      </c>
      <c r="M424" s="184">
        <f t="shared" ref="M424" si="738">I424-J424</f>
        <v>8058.6300000000047</v>
      </c>
      <c r="N424" s="186">
        <f t="shared" ref="N424" si="739">M424/J424</f>
        <v>2.3024657142857157E-2</v>
      </c>
      <c r="O424" s="184" t="b">
        <f t="shared" ref="O424" si="740">L424&gt;D424</f>
        <v>0</v>
      </c>
      <c r="P424" s="186">
        <f>COUNTIF(O$2:O424, TRUE)/(COUNTIF(O$2:O424,FALSE) + COUNTIF(O$2:O424, TRUE))</f>
        <v>0.47990543735224589</v>
      </c>
      <c r="Q424" s="174">
        <v>277930.2</v>
      </c>
      <c r="R424" s="174">
        <f t="shared" ref="R424" si="741">I424-Q424</f>
        <v>80128.429999999993</v>
      </c>
      <c r="S424" s="174">
        <v>-30899</v>
      </c>
      <c r="T424" s="174">
        <f t="shared" ref="T424" si="742">M424-S424</f>
        <v>38957.630000000005</v>
      </c>
      <c r="U424" s="186">
        <f>STDEV(D$2:D424)*SQRT(252)</f>
        <v>0.14937391224983806</v>
      </c>
      <c r="V424" s="186">
        <f>STDEV(L$2:L424)*SQRT(252)</f>
        <v>0.32196627838552588</v>
      </c>
      <c r="W424" s="184">
        <f t="shared" ref="W424" si="743">N424/V424</f>
        <v>7.1512635603680166E-2</v>
      </c>
    </row>
    <row r="425" spans="2:23" ht="20.100000000000001" customHeight="1" x14ac:dyDescent="0.25">
      <c r="B425" s="173">
        <v>42874</v>
      </c>
      <c r="C425" s="217">
        <v>2381.73</v>
      </c>
      <c r="D425" s="172">
        <f t="shared" si="644"/>
        <v>6.7674957306867334E-3</v>
      </c>
      <c r="E425" s="211">
        <f t="shared" ref="E425" si="744">(C425-$C$2)/$C$2</f>
        <v>0.13284088963299784</v>
      </c>
      <c r="F425" s="221">
        <v>6083.7</v>
      </c>
      <c r="G425" s="172">
        <f t="shared" si="624"/>
        <v>4.7183132319206537E-3</v>
      </c>
      <c r="H425" s="205">
        <f t="shared" ref="H425" si="745">(F425-F$2)/F$2</f>
        <v>0.19482687511047392</v>
      </c>
      <c r="I425" s="223">
        <v>363364.53</v>
      </c>
      <c r="J425" s="174">
        <v>350000</v>
      </c>
      <c r="K425" s="174">
        <f t="shared" ref="K425" si="746">I425-I424-J425+J424</f>
        <v>5305.9000000000233</v>
      </c>
      <c r="L425" s="172">
        <f t="shared" si="627"/>
        <v>1.4818522877105415E-2</v>
      </c>
      <c r="M425" s="184">
        <f t="shared" ref="M425" si="747">I425-J425</f>
        <v>13364.530000000028</v>
      </c>
      <c r="N425" s="186">
        <f t="shared" ref="N425" si="748">M425/J425</f>
        <v>3.8184371428571506E-2</v>
      </c>
      <c r="O425" s="184" t="b">
        <f t="shared" ref="O425" si="749">L425&gt;D425</f>
        <v>1</v>
      </c>
      <c r="P425" s="186">
        <f>COUNTIF(O$2:O425, TRUE)/(COUNTIF(O$2:O425,FALSE) + COUNTIF(O$2:O425, TRUE))</f>
        <v>0.48113207547169812</v>
      </c>
      <c r="Q425" s="174">
        <v>263972.7</v>
      </c>
      <c r="R425" s="174">
        <f t="shared" ref="R425" si="750">I425-Q425</f>
        <v>99391.830000000016</v>
      </c>
      <c r="S425" s="174">
        <v>-29778</v>
      </c>
      <c r="T425" s="174">
        <f t="shared" ref="T425" si="751">M425-S425</f>
        <v>43142.530000000028</v>
      </c>
      <c r="U425" s="186">
        <f>STDEV(D$2:D425)*SQRT(252)</f>
        <v>0.14927970106208843</v>
      </c>
      <c r="V425" s="186">
        <f>STDEV(L$2:L425)*SQRT(252)</f>
        <v>0.32177526697453379</v>
      </c>
      <c r="W425" s="184">
        <f t="shared" ref="W425" si="752">N425/V425</f>
        <v>0.11866782611229572</v>
      </c>
    </row>
    <row r="426" spans="2:23" ht="20.100000000000001" customHeight="1" x14ac:dyDescent="0.25">
      <c r="B426" s="246">
        <v>42877</v>
      </c>
      <c r="C426" s="336">
        <v>2394.02</v>
      </c>
      <c r="D426" s="172">
        <f t="shared" si="644"/>
        <v>5.1601147065368294E-3</v>
      </c>
      <c r="E426" s="248">
        <f t="shared" ref="E426" si="753">(C426-$C$2)/$C$2</f>
        <v>0.13868647856775931</v>
      </c>
      <c r="F426" s="249">
        <v>6133.61</v>
      </c>
      <c r="G426" s="172">
        <f t="shared" si="624"/>
        <v>8.2038890806581284E-3</v>
      </c>
      <c r="H426" s="250">
        <f t="shared" ref="H426" si="754">(F426-F$2)/F$2</f>
        <v>0.20462910226446959</v>
      </c>
      <c r="I426" s="566">
        <v>362670.23</v>
      </c>
      <c r="J426" s="252">
        <v>350000</v>
      </c>
      <c r="K426" s="252">
        <f t="shared" ref="K426" si="755">I426-I425-J426+J425</f>
        <v>-694.30000000004657</v>
      </c>
      <c r="L426" s="172">
        <f t="shared" si="627"/>
        <v>-1.9107533693507358E-3</v>
      </c>
      <c r="M426" s="599">
        <f t="shared" ref="M426" si="756">I426-J426</f>
        <v>12670.229999999981</v>
      </c>
      <c r="N426" s="254">
        <f t="shared" ref="N426" si="757">M426/J426</f>
        <v>3.6200657142857091E-2</v>
      </c>
      <c r="O426" s="253" t="b">
        <f t="shared" ref="O426" si="758">L426&gt;D426</f>
        <v>0</v>
      </c>
      <c r="P426" s="254">
        <f>COUNTIF(O$2:O426, TRUE)/(COUNTIF(O$2:O426,FALSE) + COUNTIF(O$2:O426, TRUE))</f>
        <v>0.48</v>
      </c>
      <c r="Q426" s="252">
        <v>263278.40000000002</v>
      </c>
      <c r="R426" s="252">
        <f t="shared" ref="R426" si="759">I426-Q426</f>
        <v>99391.829999999958</v>
      </c>
      <c r="S426" s="252">
        <v>-30076</v>
      </c>
      <c r="T426" s="252">
        <f t="shared" ref="T426" si="760">M426-S426</f>
        <v>42746.229999999981</v>
      </c>
      <c r="U426" s="254">
        <f>STDEV(D$2:D426)*SQRT(252)</f>
        <v>0.14914946204860074</v>
      </c>
      <c r="V426" s="254">
        <f>STDEV(L$2:L426)*SQRT(252)</f>
        <v>0.32140007588338698</v>
      </c>
      <c r="W426" s="253">
        <f t="shared" ref="W426" si="761">N426/V426</f>
        <v>0.11263425200929857</v>
      </c>
    </row>
    <row r="427" spans="2:23" ht="20.100000000000001" customHeight="1" x14ac:dyDescent="0.25">
      <c r="B427" s="246">
        <v>42878</v>
      </c>
      <c r="C427" s="336">
        <v>2398.42</v>
      </c>
      <c r="D427" s="172">
        <f t="shared" ref="D427" si="762">(C427-C426)/C426</f>
        <v>1.837912799391856E-3</v>
      </c>
      <c r="E427" s="248">
        <f t="shared" ref="E427" si="763">(C427-$C$2)/$C$2</f>
        <v>0.14077928502121345</v>
      </c>
      <c r="F427" s="249">
        <v>6138.71</v>
      </c>
      <c r="G427" s="172">
        <f t="shared" si="624"/>
        <v>8.3148423196133497E-4</v>
      </c>
      <c r="H427" s="250">
        <f t="shared" ref="H427" si="764">(F427-F$2)/F$2</f>
        <v>0.20563073236836424</v>
      </c>
      <c r="I427" s="566">
        <v>362550.99</v>
      </c>
      <c r="J427" s="252">
        <v>350000</v>
      </c>
      <c r="K427" s="252">
        <f t="shared" ref="K427" si="765">I427-I426-J427+J426</f>
        <v>-119.23999999999069</v>
      </c>
      <c r="L427" s="172">
        <f t="shared" si="627"/>
        <v>-3.2878353428675603E-4</v>
      </c>
      <c r="M427" s="599">
        <f t="shared" ref="M427" si="766">I427-J427</f>
        <v>12550.989999999991</v>
      </c>
      <c r="N427" s="254">
        <f t="shared" ref="N427" si="767">M427/J427</f>
        <v>3.5859971428571405E-2</v>
      </c>
      <c r="O427" s="253" t="b">
        <f t="shared" ref="O427" si="768">L427&gt;D427</f>
        <v>0</v>
      </c>
      <c r="P427" s="254">
        <f>COUNTIF(O$2:O427, TRUE)/(COUNTIF(O$2:O427,FALSE) + COUNTIF(O$2:O427, TRUE))</f>
        <v>0.47887323943661969</v>
      </c>
      <c r="Q427" s="252">
        <v>263158.59999999998</v>
      </c>
      <c r="R427" s="252">
        <f t="shared" ref="R427" si="769">I427-Q427</f>
        <v>99392.390000000014</v>
      </c>
      <c r="S427" s="252">
        <v>-30424</v>
      </c>
      <c r="T427" s="252">
        <f t="shared" ref="T427" si="770">M427-S427</f>
        <v>42974.989999999991</v>
      </c>
      <c r="U427" s="254">
        <f>STDEV(D$2:D427)*SQRT(252)</f>
        <v>0.1489778784266331</v>
      </c>
      <c r="V427" s="254">
        <f>STDEV(L$2:L427)*SQRT(252)</f>
        <v>0.32102147148537991</v>
      </c>
      <c r="W427" s="253">
        <f t="shared" ref="W427" si="771">N427/V427</f>
        <v>0.11170583469898697</v>
      </c>
    </row>
    <row r="428" spans="2:23" ht="20.100000000000001" customHeight="1" x14ac:dyDescent="0.25">
      <c r="B428" s="246">
        <v>42879</v>
      </c>
      <c r="C428" s="336">
        <v>2404.39</v>
      </c>
      <c r="D428" s="172">
        <f t="shared" ref="D428" si="772">(C428-C427)/C427</f>
        <v>2.4891386829662028E-3</v>
      </c>
      <c r="E428" s="248">
        <f t="shared" ref="E428" si="773">(C428-$C$2)/$C$2</f>
        <v>0.14361884286828627</v>
      </c>
      <c r="F428" s="249">
        <v>6163.02</v>
      </c>
      <c r="G428" s="172">
        <f t="shared" si="624"/>
        <v>3.9601153988379316E-3</v>
      </c>
      <c r="H428" s="250">
        <f t="shared" ref="H428" si="774">(F428-F$2)/F$2</f>
        <v>0.21040516919692848</v>
      </c>
      <c r="I428" s="566">
        <v>361217.77</v>
      </c>
      <c r="J428" s="252">
        <v>350000</v>
      </c>
      <c r="K428" s="252">
        <f t="shared" ref="K428" si="775">I428-I427-J428+J427</f>
        <v>-1333.2199999999721</v>
      </c>
      <c r="L428" s="172">
        <f t="shared" si="627"/>
        <v>-3.6773310148731689E-3</v>
      </c>
      <c r="M428" s="599">
        <f t="shared" ref="M428" si="776">I428-J428</f>
        <v>11217.770000000019</v>
      </c>
      <c r="N428" s="254">
        <f t="shared" ref="N428" si="777">M428/J428</f>
        <v>3.2050771428571483E-2</v>
      </c>
      <c r="O428" s="253" t="b">
        <f t="shared" ref="O428" si="778">L428&gt;D428</f>
        <v>0</v>
      </c>
      <c r="P428" s="254">
        <f>COUNTIF(O$2:O428, TRUE)/(COUNTIF(O$2:O428,FALSE) + COUNTIF(O$2:O428, TRUE))</f>
        <v>0.47775175644028101</v>
      </c>
      <c r="Q428" s="252">
        <v>265004.5</v>
      </c>
      <c r="R428" s="252">
        <f t="shared" ref="R428" si="779">I428-Q428</f>
        <v>96213.270000000019</v>
      </c>
      <c r="S428" s="252">
        <v>-30852</v>
      </c>
      <c r="T428" s="252">
        <f t="shared" ref="T428" si="780">M428-S428</f>
        <v>42069.770000000019</v>
      </c>
      <c r="U428" s="254">
        <f>STDEV(D$2:D428)*SQRT(252)</f>
        <v>0.14881157011695953</v>
      </c>
      <c r="V428" s="254">
        <f>STDEV(L$2:L428)*SQRT(252)</f>
        <v>0.32065963038398737</v>
      </c>
      <c r="W428" s="253">
        <f t="shared" ref="W428" si="781">N428/V428</f>
        <v>9.9952623877820029E-2</v>
      </c>
    </row>
    <row r="429" spans="2:23" ht="20.100000000000001" customHeight="1" x14ac:dyDescent="0.25">
      <c r="B429" s="246">
        <v>42880</v>
      </c>
      <c r="C429" s="336">
        <v>2415.0700000000002</v>
      </c>
      <c r="D429" s="172">
        <f t="shared" ref="D429" si="782">(C429-C428)/C428</f>
        <v>4.4418750701842426E-3</v>
      </c>
      <c r="E429" s="248">
        <f t="shared" ref="E429" si="783">(C429-$C$2)/$C$2</f>
        <v>0.14869865489621586</v>
      </c>
      <c r="F429" s="249">
        <v>6205.25</v>
      </c>
      <c r="G429" s="172">
        <f t="shared" si="624"/>
        <v>6.8521601422678428E-3</v>
      </c>
      <c r="H429" s="250">
        <f t="shared" ref="H429" si="784">(F429-F$2)/F$2</f>
        <v>0.21869905925329461</v>
      </c>
      <c r="I429" s="566">
        <v>353000.67</v>
      </c>
      <c r="J429" s="252">
        <v>350000</v>
      </c>
      <c r="K429" s="252">
        <f t="shared" ref="K429" si="785">I429-I428-J429+J428</f>
        <v>-8217.1000000000349</v>
      </c>
      <c r="L429" s="172">
        <f t="shared" si="627"/>
        <v>-2.2748327137947933E-2</v>
      </c>
      <c r="M429" s="599">
        <f t="shared" ref="M429" si="786">I429-J429</f>
        <v>3000.6699999999837</v>
      </c>
      <c r="N429" s="254">
        <f t="shared" ref="N429" si="787">M429/J429</f>
        <v>8.573342857142811E-3</v>
      </c>
      <c r="O429" s="253" t="b">
        <f t="shared" ref="O429" si="788">L429&gt;D429</f>
        <v>0</v>
      </c>
      <c r="P429" s="254">
        <f>COUNTIF(O$2:O429, TRUE)/(COUNTIF(O$2:O429,FALSE) + COUNTIF(O$2:O429, TRUE))</f>
        <v>0.47663551401869159</v>
      </c>
      <c r="Q429" s="252">
        <v>264898.2</v>
      </c>
      <c r="R429" s="252">
        <f t="shared" ref="R429" si="789">I429-Q429</f>
        <v>88102.469999999972</v>
      </c>
      <c r="S429" s="252">
        <v>-32794</v>
      </c>
      <c r="T429" s="252">
        <f t="shared" ref="T429" si="790">M429-S429</f>
        <v>35794.669999999984</v>
      </c>
      <c r="U429" s="254">
        <f>STDEV(D$2:D429)*SQRT(252)</f>
        <v>0.14866989936871414</v>
      </c>
      <c r="V429" s="254">
        <f>STDEV(L$2:L429)*SQRT(252)</f>
        <v>0.32077996360853689</v>
      </c>
      <c r="W429" s="253">
        <f t="shared" ref="W429" si="791">N429/V429</f>
        <v>2.6726553493862451E-2</v>
      </c>
    </row>
    <row r="430" spans="2:23" ht="20.100000000000001" customHeight="1" x14ac:dyDescent="0.25">
      <c r="B430" s="246">
        <v>42881</v>
      </c>
      <c r="C430" s="336">
        <v>2415.8200000000002</v>
      </c>
      <c r="D430" s="172">
        <f t="shared" ref="D430:D441" si="792">(C430-C429)/C429</f>
        <v>3.105500047617667E-4</v>
      </c>
      <c r="E430" s="248">
        <f t="shared" ref="E430" si="793">(C430-$C$2)/$C$2</f>
        <v>0.14905538326896373</v>
      </c>
      <c r="F430" s="249">
        <v>6210.19</v>
      </c>
      <c r="G430" s="172">
        <f t="shared" si="624"/>
        <v>7.9610007654801977E-4</v>
      </c>
      <c r="H430" s="250">
        <f t="shared" ref="H430" si="794">(F430-F$2)/F$2</f>
        <v>0.21966926566765516</v>
      </c>
      <c r="I430" s="566">
        <v>353471.67</v>
      </c>
      <c r="J430" s="252">
        <v>350000</v>
      </c>
      <c r="K430" s="252">
        <f t="shared" ref="K430" si="795">I430-I429-J430+J429</f>
        <v>471</v>
      </c>
      <c r="L430" s="172">
        <f t="shared" si="627"/>
        <v>1.3342750879198049E-3</v>
      </c>
      <c r="M430" s="599">
        <f t="shared" ref="M430" si="796">I430-J430</f>
        <v>3471.6699999999837</v>
      </c>
      <c r="N430" s="254">
        <f t="shared" ref="N430" si="797">M430/J430</f>
        <v>9.9190571428570962E-3</v>
      </c>
      <c r="O430" s="253" t="b">
        <f t="shared" ref="O430" si="798">L430&gt;D430</f>
        <v>1</v>
      </c>
      <c r="P430" s="254">
        <f>COUNTIF(O$2:O430, TRUE)/(COUNTIF(O$2:O430,FALSE) + COUNTIF(O$2:O430, TRUE))</f>
        <v>0.47785547785547783</v>
      </c>
      <c r="Q430" s="252">
        <v>265363.20000000001</v>
      </c>
      <c r="R430" s="252">
        <f t="shared" ref="R430" si="799">I430-Q430</f>
        <v>88108.469999999972</v>
      </c>
      <c r="S430" s="252">
        <v>-33110</v>
      </c>
      <c r="T430" s="252">
        <f t="shared" ref="T430" si="800">M430-S430</f>
        <v>36581.669999999984</v>
      </c>
      <c r="U430" s="254">
        <f>STDEV(D$2:D430)*SQRT(252)</f>
        <v>0.14849571742002676</v>
      </c>
      <c r="V430" s="254">
        <f>STDEV(L$2:L430)*SQRT(252)</f>
        <v>0.3204048737589808</v>
      </c>
      <c r="W430" s="253">
        <f t="shared" ref="W430" si="801">N430/V430</f>
        <v>3.0957884711574457E-2</v>
      </c>
    </row>
    <row r="431" spans="2:23" ht="20.100000000000001" customHeight="1" x14ac:dyDescent="0.25">
      <c r="B431" s="173">
        <v>42885</v>
      </c>
      <c r="C431" s="217">
        <v>2412.91</v>
      </c>
      <c r="D431" s="172">
        <f t="shared" si="792"/>
        <v>-1.204559942379941E-3</v>
      </c>
      <c r="E431" s="211">
        <f t="shared" ref="E431" si="802">(C431-$C$2)/$C$2</f>
        <v>0.1476712771827019</v>
      </c>
      <c r="F431" s="221">
        <v>6203.18</v>
      </c>
      <c r="G431" s="172">
        <f t="shared" si="624"/>
        <v>-1.1287899404042886E-3</v>
      </c>
      <c r="H431" s="205">
        <f t="shared" ref="H431" si="803">(F431-F$2)/F$2</f>
        <v>0.21829251526994922</v>
      </c>
      <c r="I431" s="223">
        <v>350229.07</v>
      </c>
      <c r="J431" s="174">
        <v>350000</v>
      </c>
      <c r="K431" s="174">
        <f t="shared" ref="K431" si="804">I431-I430-J431+J430</f>
        <v>-3242.5999999999767</v>
      </c>
      <c r="L431" s="172">
        <f t="shared" si="627"/>
        <v>-9.1735781823759077E-3</v>
      </c>
      <c r="M431" s="184">
        <f t="shared" ref="M431" si="805">I431-J431</f>
        <v>229.07000000000698</v>
      </c>
      <c r="N431" s="186">
        <f t="shared" ref="N431" si="806">M431/J431</f>
        <v>6.5448571428573419E-4</v>
      </c>
      <c r="O431" s="184" t="b">
        <f t="shared" ref="O431" si="807">L431&gt;D431</f>
        <v>0</v>
      </c>
      <c r="P431" s="186">
        <f>COUNTIF(O$2:O431, TRUE)/(COUNTIF(O$2:O431,FALSE) + COUNTIF(O$2:O431, TRUE))</f>
        <v>0.47674418604651164</v>
      </c>
      <c r="Q431" s="174">
        <v>262120.6</v>
      </c>
      <c r="R431" s="174">
        <f t="shared" ref="R431" si="808">I431-Q431</f>
        <v>88108.47</v>
      </c>
      <c r="S431" s="174">
        <v>-35019</v>
      </c>
      <c r="T431" s="174">
        <f t="shared" ref="T431" si="809">M431-S431</f>
        <v>35248.070000000007</v>
      </c>
      <c r="U431" s="186">
        <f>STDEV(D$2:D431)*SQRT(252)</f>
        <v>0.14832703796630264</v>
      </c>
      <c r="V431" s="186">
        <f>STDEV(L$2:L431)*SQRT(252)</f>
        <v>0.32011502320683888</v>
      </c>
      <c r="W431" s="184">
        <f t="shared" ref="W431" si="810">N431/V431</f>
        <v>2.0445329548399397E-3</v>
      </c>
    </row>
    <row r="432" spans="2:23" ht="20.100000000000001" customHeight="1" x14ac:dyDescent="0.25">
      <c r="B432" s="173">
        <v>42886</v>
      </c>
      <c r="C432" s="217">
        <v>2411.8000000000002</v>
      </c>
      <c r="D432" s="172">
        <f t="shared" si="792"/>
        <v>-4.6002544645248791E-4</v>
      </c>
      <c r="E432" s="211">
        <f t="shared" ref="E432" si="811">(C432-$C$2)/$C$2</f>
        <v>0.14714331919103524</v>
      </c>
      <c r="F432" s="221">
        <v>6198.51</v>
      </c>
      <c r="G432" s="172">
        <f t="shared" si="624"/>
        <v>-7.5283967255505607E-4</v>
      </c>
      <c r="H432" s="205">
        <f t="shared" ref="H432" si="812">(F432-F$2)/F$2</f>
        <v>0.21737533633167713</v>
      </c>
      <c r="I432" s="420">
        <v>349203.17</v>
      </c>
      <c r="J432" s="174">
        <v>350000</v>
      </c>
      <c r="K432" s="174">
        <f t="shared" ref="K432" si="813">I432-I431-J432+J431</f>
        <v>-1025.9000000000233</v>
      </c>
      <c r="L432" s="172">
        <f t="shared" si="627"/>
        <v>-2.9292257207547715E-3</v>
      </c>
      <c r="M432" s="420">
        <f t="shared" ref="M432" si="814">I432-J432</f>
        <v>-796.8300000000163</v>
      </c>
      <c r="N432" s="186">
        <f t="shared" ref="N432" si="815">M432/J432</f>
        <v>-2.2766571428571893E-3</v>
      </c>
      <c r="O432" s="184" t="b">
        <f t="shared" ref="O432" si="816">L432&gt;D432</f>
        <v>0</v>
      </c>
      <c r="P432" s="186">
        <f>COUNTIF(O$2:O432, TRUE)/(COUNTIF(O$2:O432,FALSE) + COUNTIF(O$2:O432, TRUE))</f>
        <v>0.47563805104408352</v>
      </c>
      <c r="Q432" s="174">
        <v>265165.09999999998</v>
      </c>
      <c r="R432" s="174">
        <f t="shared" ref="R432" si="817">I432-Q432</f>
        <v>84038.07</v>
      </c>
      <c r="S432" s="174">
        <v>-35731</v>
      </c>
      <c r="T432" s="174">
        <f t="shared" ref="T432" si="818">M432-S432</f>
        <v>34934.169999999984</v>
      </c>
      <c r="U432" s="186">
        <f>STDEV(D$2:D432)*SQRT(252)</f>
        <v>0.14815540660544116</v>
      </c>
      <c r="V432" s="186">
        <f>STDEV(L$2:L432)*SQRT(252)</f>
        <v>0.31975192949675368</v>
      </c>
      <c r="W432" s="184">
        <f t="shared" ref="W432" si="819">N432/V432</f>
        <v>-7.1200731968696475E-3</v>
      </c>
    </row>
    <row r="433" spans="2:23" ht="20.100000000000001" customHeight="1" x14ac:dyDescent="0.25">
      <c r="B433" s="173">
        <v>42887</v>
      </c>
      <c r="C433" s="217">
        <v>2430.06</v>
      </c>
      <c r="D433" s="172">
        <f t="shared" si="792"/>
        <v>7.5711087154821137E-3</v>
      </c>
      <c r="E433" s="211">
        <f t="shared" ref="E433" si="820">(C433-$C$2)/$C$2</f>
        <v>0.15582846597286956</v>
      </c>
      <c r="F433" s="221">
        <v>6246.83</v>
      </c>
      <c r="G433" s="172">
        <f t="shared" si="624"/>
        <v>7.7954218029816372E-3</v>
      </c>
      <c r="H433" s="205">
        <f t="shared" ref="H433" si="821">(F433-F$2)/F$2</f>
        <v>0.22686529057092919</v>
      </c>
      <c r="I433" s="223">
        <v>353722.21</v>
      </c>
      <c r="J433" s="174">
        <v>350000</v>
      </c>
      <c r="K433" s="174">
        <f t="shared" ref="K433" si="822">I433-I432-J433+J432</f>
        <v>4519.0400000000373</v>
      </c>
      <c r="L433" s="172">
        <f t="shared" si="627"/>
        <v>1.2941005088814163E-2</v>
      </c>
      <c r="M433" s="184">
        <f t="shared" ref="M433" si="823">I433-J433</f>
        <v>3722.210000000021</v>
      </c>
      <c r="N433" s="186">
        <f t="shared" ref="N433" si="824">M433/J433</f>
        <v>1.0634885714285775E-2</v>
      </c>
      <c r="O433" s="184" t="b">
        <f t="shared" ref="O433" si="825">L433&gt;D433</f>
        <v>1</v>
      </c>
      <c r="P433" s="186">
        <f>COUNTIF(O$2:O433, TRUE)/(COUNTIF(O$2:O433,FALSE) + COUNTIF(O$2:O433, TRUE))</f>
        <v>0.47685185185185186</v>
      </c>
      <c r="Q433" s="174">
        <v>269546.90000000002</v>
      </c>
      <c r="R433" s="174">
        <f t="shared" ref="R433" si="826">I433-Q433</f>
        <v>84175.31</v>
      </c>
      <c r="S433" s="174">
        <v>-33352</v>
      </c>
      <c r="T433" s="174">
        <f t="shared" ref="T433" si="827">M433-S433</f>
        <v>37074.210000000021</v>
      </c>
      <c r="U433" s="186">
        <f>STDEV(D$2:D433)*SQRT(252)</f>
        <v>0.14808564864409832</v>
      </c>
      <c r="V433" s="186">
        <f>STDEV(L$2:L433)*SQRT(252)</f>
        <v>0.31952378804389292</v>
      </c>
      <c r="W433" s="184">
        <f t="shared" ref="W433" si="828">N433/V433</f>
        <v>3.3283549182337759E-2</v>
      </c>
    </row>
    <row r="434" spans="2:23" ht="20.100000000000001" customHeight="1" x14ac:dyDescent="0.25">
      <c r="B434" s="173">
        <v>42888</v>
      </c>
      <c r="C434" s="217">
        <v>2439.0700000000002</v>
      </c>
      <c r="D434" s="172">
        <f t="shared" si="792"/>
        <v>3.7077273812170146E-3</v>
      </c>
      <c r="E434" s="211">
        <f t="shared" ref="E434" si="829">(C434-$C$2)/$C$2</f>
        <v>0.16011396282414722</v>
      </c>
      <c r="F434" s="221">
        <v>6305.79</v>
      </c>
      <c r="G434" s="172">
        <f t="shared" si="624"/>
        <v>9.4383871499624673E-3</v>
      </c>
      <c r="H434" s="205">
        <f t="shared" ref="H434" si="830">(F434-F$2)/F$2</f>
        <v>0.23844492016418881</v>
      </c>
      <c r="I434" s="223">
        <v>351458.31</v>
      </c>
      <c r="J434" s="174">
        <v>350000</v>
      </c>
      <c r="K434" s="174">
        <f t="shared" ref="K434" si="831">I434-I433-J434+J433</f>
        <v>-2263.9000000000233</v>
      </c>
      <c r="L434" s="172">
        <f t="shared" si="627"/>
        <v>-6.4002201049236434E-3</v>
      </c>
      <c r="M434" s="184">
        <f t="shared" ref="M434" si="832">I434-J434</f>
        <v>1458.3099999999977</v>
      </c>
      <c r="N434" s="186">
        <f t="shared" ref="N434" si="833">M434/J434</f>
        <v>4.1665999999999934E-3</v>
      </c>
      <c r="O434" s="184" t="b">
        <f t="shared" ref="O434" si="834">L434&gt;D434</f>
        <v>0</v>
      </c>
      <c r="P434" s="186">
        <f>COUNTIF(O$2:O434, TRUE)/(COUNTIF(O$2:O434,FALSE) + COUNTIF(O$2:O434, TRUE))</f>
        <v>0.47575057736720555</v>
      </c>
      <c r="Q434" s="174">
        <v>282327.40000000002</v>
      </c>
      <c r="R434" s="174">
        <f t="shared" ref="R434" si="835">I434-Q434</f>
        <v>69130.909999999974</v>
      </c>
      <c r="S434" s="174">
        <v>-36002</v>
      </c>
      <c r="T434" s="174">
        <f t="shared" ref="T434" si="836">M434-S434</f>
        <v>37460.31</v>
      </c>
      <c r="U434" s="186">
        <f>STDEV(D$2:D434)*SQRT(252)</f>
        <v>0.14793559836685169</v>
      </c>
      <c r="V434" s="186">
        <f>STDEV(L$2:L434)*SQRT(252)</f>
        <v>0.31919554315894061</v>
      </c>
      <c r="W434" s="184">
        <f t="shared" ref="W434" si="837">N434/V434</f>
        <v>1.30534404044773E-2</v>
      </c>
    </row>
    <row r="435" spans="2:23" ht="20.100000000000001" customHeight="1" x14ac:dyDescent="0.25">
      <c r="B435" s="246">
        <v>42891</v>
      </c>
      <c r="C435" s="336">
        <v>2436.1</v>
      </c>
      <c r="D435" s="172">
        <f t="shared" si="792"/>
        <v>-1.217677229435914E-3</v>
      </c>
      <c r="E435" s="248">
        <f t="shared" ref="E435" si="838">(C435-$C$2)/$C$2</f>
        <v>0.15870131846806559</v>
      </c>
      <c r="F435" s="249">
        <v>6295.68</v>
      </c>
      <c r="G435" s="172">
        <f t="shared" si="624"/>
        <v>-1.6032884063693325E-3</v>
      </c>
      <c r="H435" s="250">
        <f t="shared" ref="H435" si="839">(F435-F$2)/F$2</f>
        <v>0.23645933578176256</v>
      </c>
      <c r="I435" s="566">
        <v>351519.71</v>
      </c>
      <c r="J435" s="252">
        <v>350000</v>
      </c>
      <c r="K435" s="252">
        <f t="shared" ref="K435" si="840">I435-I434-J435+J434</f>
        <v>61.400000000023283</v>
      </c>
      <c r="L435" s="172">
        <f t="shared" si="627"/>
        <v>1.7470066364350093E-4</v>
      </c>
      <c r="M435" s="599">
        <f t="shared" ref="M435" si="841">I435-J435</f>
        <v>1519.710000000021</v>
      </c>
      <c r="N435" s="254">
        <f t="shared" ref="N435" si="842">M435/J435</f>
        <v>4.3420285714286314E-3</v>
      </c>
      <c r="O435" s="253" t="b">
        <f t="shared" ref="O435" si="843">L435&gt;D435</f>
        <v>1</v>
      </c>
      <c r="P435" s="254">
        <f>COUNTIF(O$2:O435, TRUE)/(COUNTIF(O$2:O435,FALSE) + COUNTIF(O$2:O435, TRUE))</f>
        <v>0.47695852534562211</v>
      </c>
      <c r="Q435" s="252">
        <v>282388.8</v>
      </c>
      <c r="R435" s="252">
        <f t="shared" ref="R435" si="844">I435-Q435</f>
        <v>69130.910000000033</v>
      </c>
      <c r="S435" s="252">
        <v>-35772</v>
      </c>
      <c r="T435" s="252">
        <f t="shared" ref="T435" si="845">M435-S435</f>
        <v>37291.710000000021</v>
      </c>
      <c r="U435" s="254">
        <f>STDEV(D$2:D435)*SQRT(252)</f>
        <v>0.14776934878372619</v>
      </c>
      <c r="V435" s="254">
        <f>STDEV(L$2:L435)*SQRT(252)</f>
        <v>0.31882594274949316</v>
      </c>
      <c r="W435" s="253">
        <f t="shared" ref="W435" si="846">N435/V435</f>
        <v>1.3618805715694959E-2</v>
      </c>
    </row>
    <row r="436" spans="2:23" ht="20.100000000000001" customHeight="1" x14ac:dyDescent="0.25">
      <c r="B436" s="246">
        <v>42892</v>
      </c>
      <c r="C436" s="336">
        <v>2429.33</v>
      </c>
      <c r="D436" s="172">
        <f t="shared" si="792"/>
        <v>-2.7790320594392602E-3</v>
      </c>
      <c r="E436" s="248">
        <f t="shared" ref="E436" si="847">(C436-$C$2)/$C$2</f>
        <v>0.1554812503567283</v>
      </c>
      <c r="F436" s="249">
        <v>6275.02</v>
      </c>
      <c r="G436" s="172">
        <f t="shared" si="624"/>
        <v>-3.2816153298769715E-3</v>
      </c>
      <c r="H436" s="250">
        <f t="shared" ref="H436" si="848">(F436-F$2)/F$2</f>
        <v>0.23240175187069165</v>
      </c>
      <c r="I436" s="566">
        <v>351863.31</v>
      </c>
      <c r="J436" s="252">
        <v>350000</v>
      </c>
      <c r="K436" s="252">
        <f t="shared" ref="K436" si="849">I436-I435-J436+J435</f>
        <v>343.59999999997672</v>
      </c>
      <c r="L436" s="172">
        <f t="shared" si="627"/>
        <v>9.7747008268747344E-4</v>
      </c>
      <c r="M436" s="599">
        <f t="shared" ref="M436" si="850">I436-J436</f>
        <v>1863.3099999999977</v>
      </c>
      <c r="N436" s="254">
        <f t="shared" ref="N436" si="851">M436/J436</f>
        <v>5.3237428571428509E-3</v>
      </c>
      <c r="O436" s="253" t="b">
        <f t="shared" ref="O436" si="852">L436&gt;D436</f>
        <v>1</v>
      </c>
      <c r="P436" s="254">
        <f>COUNTIF(O$2:O436, TRUE)/(COUNTIF(O$2:O436,FALSE) + COUNTIF(O$2:O436, TRUE))</f>
        <v>0.47816091954022988</v>
      </c>
      <c r="Q436" s="252">
        <v>286054.40000000002</v>
      </c>
      <c r="R436" s="252">
        <f t="shared" ref="R436" si="853">I436-Q436</f>
        <v>65808.909999999974</v>
      </c>
      <c r="S436" s="252">
        <v>-34862</v>
      </c>
      <c r="T436" s="252">
        <f t="shared" ref="T436" si="854">M436-S436</f>
        <v>36725.31</v>
      </c>
      <c r="U436" s="254">
        <f>STDEV(D$2:D436)*SQRT(252)</f>
        <v>0.14761828585147854</v>
      </c>
      <c r="V436" s="254">
        <f>STDEV(L$2:L436)*SQRT(252)</f>
        <v>0.3184578591374711</v>
      </c>
      <c r="W436" s="253">
        <f t="shared" ref="W436" si="855">N436/V436</f>
        <v>1.6717260084464457E-2</v>
      </c>
    </row>
    <row r="437" spans="2:23" ht="20.100000000000001" customHeight="1" x14ac:dyDescent="0.25">
      <c r="B437" s="246">
        <v>42893</v>
      </c>
      <c r="C437" s="336">
        <v>2433.14</v>
      </c>
      <c r="D437" s="172">
        <f t="shared" si="792"/>
        <v>1.5683336557816129E-3</v>
      </c>
      <c r="E437" s="248">
        <f t="shared" ref="E437" si="856">(C437-$C$2)/$C$2</f>
        <v>0.15729343049028738</v>
      </c>
      <c r="F437" s="249">
        <v>6297.38</v>
      </c>
      <c r="G437" s="172">
        <f t="shared" si="624"/>
        <v>3.5633352563019197E-3</v>
      </c>
      <c r="H437" s="250">
        <f t="shared" ref="H437" si="857">(F437-F$2)/F$2</f>
        <v>0.23679321248306073</v>
      </c>
      <c r="I437" s="566">
        <v>346982.81</v>
      </c>
      <c r="J437" s="252">
        <v>350000</v>
      </c>
      <c r="K437" s="252">
        <f t="shared" ref="K437" si="858">I437-I436-J437+J436</f>
        <v>-4880.5</v>
      </c>
      <c r="L437" s="172">
        <f t="shared" si="627"/>
        <v>-1.3870443042214319E-2</v>
      </c>
      <c r="M437" s="599">
        <f t="shared" ref="M437" si="859">I437-J437</f>
        <v>-3017.1900000000023</v>
      </c>
      <c r="N437" s="254">
        <f t="shared" ref="N437" si="860">M437/J437</f>
        <v>-8.6205428571428638E-3</v>
      </c>
      <c r="O437" s="253" t="b">
        <f t="shared" ref="O437" si="861">L437&gt;D437</f>
        <v>0</v>
      </c>
      <c r="P437" s="254">
        <f>COUNTIF(O$2:O437, TRUE)/(COUNTIF(O$2:O437,FALSE) + COUNTIF(O$2:O437, TRUE))</f>
        <v>0.47706422018348627</v>
      </c>
      <c r="Q437" s="252">
        <v>281173.90000000002</v>
      </c>
      <c r="R437" s="252">
        <f t="shared" ref="R437" si="862">I437-Q437</f>
        <v>65808.909999999974</v>
      </c>
      <c r="S437" s="252">
        <v>-40512</v>
      </c>
      <c r="T437" s="252">
        <f t="shared" ref="T437" si="863">M437-S437</f>
        <v>37494.81</v>
      </c>
      <c r="U437" s="254">
        <f>STDEV(D$2:D437)*SQRT(252)</f>
        <v>0.14745091296310839</v>
      </c>
      <c r="V437" s="254">
        <f>STDEV(L$2:L437)*SQRT(252)</f>
        <v>0.31827656927387871</v>
      </c>
      <c r="W437" s="253">
        <f t="shared" ref="W437" si="864">N437/V437</f>
        <v>-2.7085069054281655E-2</v>
      </c>
    </row>
    <row r="438" spans="2:23" ht="20.100000000000001" customHeight="1" x14ac:dyDescent="0.25">
      <c r="B438" s="246">
        <v>42894</v>
      </c>
      <c r="C438" s="336">
        <v>2433.79</v>
      </c>
      <c r="D438" s="172">
        <f t="shared" si="792"/>
        <v>2.6714451285174342E-4</v>
      </c>
      <c r="E438" s="248">
        <f t="shared" ref="E438" si="865">(C438-$C$2)/$C$2</f>
        <v>0.15760259508000224</v>
      </c>
      <c r="F438" s="249">
        <v>6321.76</v>
      </c>
      <c r="G438" s="172">
        <f t="shared" si="624"/>
        <v>3.8714513019700429E-3</v>
      </c>
      <c r="H438" s="250">
        <f t="shared" ref="H438" si="866">(F438-F$2)/F$2</f>
        <v>0.24158139717579599</v>
      </c>
      <c r="I438" s="566">
        <v>347153.55</v>
      </c>
      <c r="J438" s="252">
        <v>350000</v>
      </c>
      <c r="K438" s="252">
        <f t="shared" ref="K438" si="867">I438-I437-J438+J437</f>
        <v>170.73999999999069</v>
      </c>
      <c r="L438" s="172">
        <f t="shared" si="627"/>
        <v>4.9207048614307637E-4</v>
      </c>
      <c r="M438" s="599">
        <f t="shared" ref="M438" si="868">I438-J438</f>
        <v>-2846.4500000000116</v>
      </c>
      <c r="N438" s="254">
        <f t="shared" ref="N438" si="869">M438/J438</f>
        <v>-8.1327142857143195E-3</v>
      </c>
      <c r="O438" s="253" t="b">
        <f t="shared" ref="O438" si="870">L438&gt;D438</f>
        <v>1</v>
      </c>
      <c r="P438" s="254">
        <f>COUNTIF(O$2:O438, TRUE)/(COUNTIF(O$2:O438,FALSE) + COUNTIF(O$2:O438, TRUE))</f>
        <v>0.47826086956521741</v>
      </c>
      <c r="Q438" s="252">
        <v>278494.7</v>
      </c>
      <c r="R438" s="252">
        <f t="shared" ref="R438" si="871">I438-Q438</f>
        <v>68658.849999999977</v>
      </c>
      <c r="S438" s="252">
        <v>-41692</v>
      </c>
      <c r="T438" s="252">
        <f t="shared" ref="T438" si="872">M438-S438</f>
        <v>38845.549999999988</v>
      </c>
      <c r="U438" s="254">
        <f>STDEV(D$2:D438)*SQRT(252)</f>
        <v>0.14728135611412443</v>
      </c>
      <c r="V438" s="254">
        <f>STDEV(L$2:L438)*SQRT(252)</f>
        <v>0.31791053438121292</v>
      </c>
      <c r="W438" s="253">
        <f t="shared" ref="W438" si="873">N438/V438</f>
        <v>-2.558177036046946E-2</v>
      </c>
    </row>
    <row r="439" spans="2:23" ht="20.100000000000001" customHeight="1" x14ac:dyDescent="0.25">
      <c r="B439" s="246">
        <v>42895</v>
      </c>
      <c r="C439" s="336">
        <v>2431.77</v>
      </c>
      <c r="D439" s="172">
        <f t="shared" si="792"/>
        <v>-8.2998122270203339E-4</v>
      </c>
      <c r="E439" s="248">
        <f t="shared" ref="E439" si="874">(C439-$C$2)/$C$2</f>
        <v>0.15664180666273469</v>
      </c>
      <c r="F439" s="249">
        <v>6207.91</v>
      </c>
      <c r="G439" s="172">
        <f t="shared" si="624"/>
        <v>-1.8009225279036273E-2</v>
      </c>
      <c r="H439" s="250">
        <f t="shared" ref="H439" si="875">(F439-F$2)/F$2</f>
        <v>0.21922147809179646</v>
      </c>
      <c r="I439" s="566">
        <v>354123.05</v>
      </c>
      <c r="J439" s="252">
        <v>350000</v>
      </c>
      <c r="K439" s="252">
        <f t="shared" ref="K439" si="876">I439-I438-J439+J438</f>
        <v>6969.5</v>
      </c>
      <c r="L439" s="172">
        <f t="shared" si="627"/>
        <v>2.0076130576800959E-2</v>
      </c>
      <c r="M439" s="599">
        <f t="shared" ref="M439" si="877">I439-J439</f>
        <v>4123.0499999999884</v>
      </c>
      <c r="N439" s="254">
        <f t="shared" ref="N439" si="878">M439/J439</f>
        <v>1.1780142857142824E-2</v>
      </c>
      <c r="O439" s="253" t="b">
        <f t="shared" ref="O439" si="879">L439&gt;D439</f>
        <v>1</v>
      </c>
      <c r="P439" s="254">
        <f>COUNTIF(O$2:O439, TRUE)/(COUNTIF(O$2:O439,FALSE) + COUNTIF(O$2:O439, TRUE))</f>
        <v>0.47945205479452052</v>
      </c>
      <c r="Q439" s="252">
        <v>285464.2</v>
      </c>
      <c r="R439" s="252">
        <f t="shared" ref="R439" si="880">I439-Q439</f>
        <v>68658.849999999977</v>
      </c>
      <c r="S439" s="252">
        <v>-37482</v>
      </c>
      <c r="T439" s="252">
        <f t="shared" ref="T439" si="881">M439-S439</f>
        <v>41605.049999999988</v>
      </c>
      <c r="U439" s="254">
        <f>STDEV(D$2:D439)*SQRT(252)</f>
        <v>0.14711522117325773</v>
      </c>
      <c r="V439" s="254">
        <f>STDEV(L$2:L439)*SQRT(252)</f>
        <v>0.3178976683829039</v>
      </c>
      <c r="W439" s="253">
        <f t="shared" ref="W439" si="882">N439/V439</f>
        <v>3.7056399051514227E-2</v>
      </c>
    </row>
    <row r="440" spans="2:23" ht="20.100000000000001" customHeight="1" x14ac:dyDescent="0.25">
      <c r="B440" s="173">
        <v>42898</v>
      </c>
      <c r="C440" s="217">
        <v>2429.39</v>
      </c>
      <c r="D440" s="172">
        <f t="shared" si="792"/>
        <v>-9.7871098006806125E-4</v>
      </c>
      <c r="E440" s="211">
        <f t="shared" ref="E440" si="883">(C440-$C$2)/$C$2</f>
        <v>0.1555097886265481</v>
      </c>
      <c r="F440" s="221">
        <v>6208.91</v>
      </c>
      <c r="G440" s="172">
        <f t="shared" si="624"/>
        <v>1.6108480954137545E-4</v>
      </c>
      <c r="H440" s="205">
        <f t="shared" ref="H440" si="884">(F440-F$2)/F$2</f>
        <v>0.21941787615138364</v>
      </c>
      <c r="I440" s="223">
        <v>354932.43</v>
      </c>
      <c r="J440" s="174">
        <v>350000</v>
      </c>
      <c r="K440" s="174">
        <f t="shared" ref="K440" si="885">I440-I439-J440+J439</f>
        <v>809.38000000000466</v>
      </c>
      <c r="L440" s="172">
        <f t="shared" si="627"/>
        <v>2.2855897123895343E-3</v>
      </c>
      <c r="M440" s="184">
        <f t="shared" ref="M440" si="886">I440-J440</f>
        <v>4932.429999999993</v>
      </c>
      <c r="N440" s="186">
        <f t="shared" ref="N440" si="887">M440/J440</f>
        <v>1.4092657142857123E-2</v>
      </c>
      <c r="O440" s="184" t="b">
        <f t="shared" ref="O440" si="888">L440&gt;D440</f>
        <v>1</v>
      </c>
      <c r="P440" s="186">
        <f>COUNTIF(O$2:O440, TRUE)/(COUNTIF(O$2:O440,FALSE) + COUNTIF(O$2:O440, TRUE))</f>
        <v>0.48063781321184512</v>
      </c>
      <c r="Q440" s="174">
        <v>278669.75</v>
      </c>
      <c r="R440" s="174">
        <f t="shared" ref="R440" si="889">I440-Q440</f>
        <v>76262.679999999993</v>
      </c>
      <c r="S440" s="174">
        <v>-36662</v>
      </c>
      <c r="T440" s="174">
        <f t="shared" ref="T440" si="890">M440-S440</f>
        <v>41594.429999999993</v>
      </c>
      <c r="U440" s="186">
        <f>STDEV(D$2:D440)*SQRT(252)</f>
        <v>0.14695039242949098</v>
      </c>
      <c r="V440" s="186">
        <f>STDEV(L$2:L440)*SQRT(252)</f>
        <v>0.3175368564907623</v>
      </c>
      <c r="W440" s="184">
        <f t="shared" ref="W440" si="891">N440/V440</f>
        <v>4.4381169791126607E-2</v>
      </c>
    </row>
    <row r="441" spans="2:23" ht="20.100000000000001" customHeight="1" x14ac:dyDescent="0.25">
      <c r="B441" s="173">
        <v>42899</v>
      </c>
      <c r="C441" s="217">
        <v>2440.35</v>
      </c>
      <c r="D441" s="172">
        <f t="shared" si="792"/>
        <v>4.5114205623634071E-3</v>
      </c>
      <c r="E441" s="211">
        <f t="shared" ref="E441" si="892">(C441-$C$2)/$C$2</f>
        <v>0.16072277924697012</v>
      </c>
      <c r="F441" s="221">
        <v>6220.36</v>
      </c>
      <c r="G441" s="172">
        <f t="shared" si="624"/>
        <v>1.8441240088839777E-3</v>
      </c>
      <c r="H441" s="205">
        <f t="shared" ref="H441" si="893">(F441-F$2)/F$2</f>
        <v>0.22166663393365671</v>
      </c>
      <c r="I441" s="223">
        <v>359514.03</v>
      </c>
      <c r="J441" s="174">
        <v>350000</v>
      </c>
      <c r="K441" s="174">
        <f t="shared" ref="K441" si="894">I441-I440-J441+J440</f>
        <v>4581.6000000000349</v>
      </c>
      <c r="L441" s="172">
        <f t="shared" si="627"/>
        <v>1.29083724471163E-2</v>
      </c>
      <c r="M441" s="184">
        <f t="shared" ref="M441" si="895">I441-J441</f>
        <v>9514.0300000000279</v>
      </c>
      <c r="N441" s="186">
        <f t="shared" ref="N441" si="896">M441/J441</f>
        <v>2.7182942857142938E-2</v>
      </c>
      <c r="O441" s="184" t="b">
        <f t="shared" ref="O441" si="897">L441&gt;D441</f>
        <v>1</v>
      </c>
      <c r="P441" s="186">
        <f>COUNTIF(O$2:O441, TRUE)/(COUNTIF(O$2:O441,FALSE) + COUNTIF(O$2:O441, TRUE))</f>
        <v>0.48181818181818181</v>
      </c>
      <c r="Q441" s="174">
        <v>282883.34999999998</v>
      </c>
      <c r="R441" s="174">
        <f t="shared" ref="R441" si="898">I441-Q441</f>
        <v>76630.680000000051</v>
      </c>
      <c r="S441" s="174">
        <v>-33012</v>
      </c>
      <c r="T441" s="174">
        <f t="shared" ref="T441" si="899">M441-S441</f>
        <v>42526.030000000028</v>
      </c>
      <c r="U441" s="186">
        <f>STDEV(D$2:D441)*SQRT(252)</f>
        <v>0.14681603465160581</v>
      </c>
      <c r="V441" s="186">
        <f>STDEV(L$2:L441)*SQRT(252)</f>
        <v>0.31731497088300775</v>
      </c>
      <c r="W441" s="184">
        <f t="shared" ref="W441" si="900">N441/V441</f>
        <v>8.5665491235725963E-2</v>
      </c>
    </row>
    <row r="442" spans="2:23" ht="20.100000000000001" customHeight="1" x14ac:dyDescent="0.25">
      <c r="B442" s="173">
        <v>42900</v>
      </c>
      <c r="C442" s="217">
        <v>2437.92</v>
      </c>
      <c r="D442" s="172">
        <f t="shared" ref="D442" si="901">(C442-C441)/C441</f>
        <v>-9.9575880508936693E-4</v>
      </c>
      <c r="E442" s="211">
        <f t="shared" ref="E442" si="902">(C442-$C$2)/$C$2</f>
        <v>0.15956697931926714</v>
      </c>
      <c r="F442" s="221">
        <v>6194.89</v>
      </c>
      <c r="G442" s="172">
        <f t="shared" ref="G442" si="903">(F442-F441)/F441</f>
        <v>-4.0946183179107554E-3</v>
      </c>
      <c r="H442" s="205">
        <f t="shared" ref="H442" si="904">(F442-F$2)/F$2</f>
        <v>0.21666437535597158</v>
      </c>
      <c r="I442" s="223">
        <v>355660.79999999999</v>
      </c>
      <c r="J442" s="174">
        <v>350000</v>
      </c>
      <c r="K442" s="174">
        <f t="shared" ref="K442" si="905">I442-I441-J442+J441</f>
        <v>-3853.2300000000396</v>
      </c>
      <c r="L442" s="172">
        <f t="shared" ref="L442" si="906">K442/I441</f>
        <v>-1.0717884918149201E-2</v>
      </c>
      <c r="M442" s="184">
        <f t="shared" ref="M442" si="907">I442-J442</f>
        <v>5660.7999999999884</v>
      </c>
      <c r="N442" s="186">
        <f t="shared" ref="N442" si="908">M442/J442</f>
        <v>1.6173714285714253E-2</v>
      </c>
      <c r="O442" s="184" t="b">
        <f t="shared" ref="O442" si="909">L442&gt;D442</f>
        <v>0</v>
      </c>
      <c r="P442" s="186">
        <f>COUNTIF(O$2:O442, TRUE)/(COUNTIF(O$2:O442,FALSE) + COUNTIF(O$2:O442, TRUE))</f>
        <v>0.48072562358276644</v>
      </c>
      <c r="Q442" s="174">
        <v>283596.25</v>
      </c>
      <c r="R442" s="174">
        <f t="shared" ref="R442" si="910">I442-Q442</f>
        <v>72064.549999999988</v>
      </c>
      <c r="S442" s="174">
        <v>-36382</v>
      </c>
      <c r="T442" s="174">
        <f t="shared" ref="T442" si="911">M442-S442</f>
        <v>42042.799999999988</v>
      </c>
      <c r="U442" s="186">
        <f>STDEV(D$2:D442)*SQRT(252)</f>
        <v>0.14665243029152958</v>
      </c>
      <c r="V442" s="186">
        <f>STDEV(L$2:L442)*SQRT(252)</f>
        <v>0.3170662521053495</v>
      </c>
      <c r="W442" s="184">
        <f t="shared" ref="W442" si="912">N442/V442</f>
        <v>5.1010519657387947E-2</v>
      </c>
    </row>
    <row r="443" spans="2:23" ht="20.100000000000001" customHeight="1" x14ac:dyDescent="0.25">
      <c r="B443" s="173">
        <v>42901</v>
      </c>
      <c r="C443" s="217">
        <v>2432.46</v>
      </c>
      <c r="D443" s="172">
        <f t="shared" ref="D443" si="913">(C443-C442)/C442</f>
        <v>-2.2396140972632556E-3</v>
      </c>
      <c r="E443" s="211">
        <f t="shared" ref="E443" si="914">(C443-$C$2)/$C$2</f>
        <v>0.15696999676566273</v>
      </c>
      <c r="F443" s="221">
        <v>6165.5</v>
      </c>
      <c r="G443" s="172">
        <f t="shared" ref="G443" si="915">(F443-F442)/F442</f>
        <v>-4.7442327466670634E-3</v>
      </c>
      <c r="H443" s="205">
        <f t="shared" ref="H443" si="916">(F443-F$2)/F$2</f>
        <v>0.21089223638470456</v>
      </c>
      <c r="I443" s="223">
        <v>343648.95</v>
      </c>
      <c r="J443" s="174">
        <v>350000</v>
      </c>
      <c r="K443" s="174">
        <f t="shared" ref="K443" si="917">I443-I442-J443+J442</f>
        <v>-12011.849999999977</v>
      </c>
      <c r="L443" s="172">
        <f t="shared" ref="L443" si="918">K443/I442</f>
        <v>-3.3773331218959125E-2</v>
      </c>
      <c r="M443" s="184">
        <f t="shared" ref="M443" si="919">I443-J443</f>
        <v>-6351.0499999999884</v>
      </c>
      <c r="N443" s="186">
        <f t="shared" ref="N443" si="920">M443/J443</f>
        <v>-1.8145857142857109E-2</v>
      </c>
      <c r="O443" s="184" t="b">
        <f t="shared" ref="O443" si="921">L443&gt;D443</f>
        <v>0</v>
      </c>
      <c r="P443" s="186">
        <f>COUNTIF(O$2:O443, TRUE)/(COUNTIF(O$2:O443,FALSE) + COUNTIF(O$2:O443, TRUE))</f>
        <v>0.47963800904977377</v>
      </c>
      <c r="Q443" s="174">
        <v>276654.45</v>
      </c>
      <c r="R443" s="174">
        <f t="shared" ref="R443" si="922">I443-Q443</f>
        <v>66994.5</v>
      </c>
      <c r="S443" s="174">
        <v>-42389</v>
      </c>
      <c r="T443" s="174">
        <f t="shared" ref="T443" si="923">M443-S443</f>
        <v>36037.950000000012</v>
      </c>
      <c r="U443" s="186">
        <f>STDEV(D$2:D443)*SQRT(252)</f>
        <v>0.1464990590899134</v>
      </c>
      <c r="V443" s="186">
        <f>STDEV(L$2:L443)*SQRT(252)</f>
        <v>0.31775974785827971</v>
      </c>
      <c r="W443" s="184">
        <f t="shared" ref="W443" si="924">N443/V443</f>
        <v>-5.7105587681137417E-2</v>
      </c>
    </row>
    <row r="444" spans="2:23" ht="20.100000000000001" customHeight="1" x14ac:dyDescent="0.25">
      <c r="B444" s="173">
        <v>42902</v>
      </c>
      <c r="C444" s="217">
        <v>2433.46</v>
      </c>
      <c r="D444" s="172">
        <f t="shared" ref="D444" si="925">(C444-C443)/C443</f>
        <v>4.1110645190465617E-4</v>
      </c>
      <c r="E444" s="211">
        <f t="shared" ref="E444" si="926">(C444-$C$2)/$C$2</f>
        <v>0.15744563459599323</v>
      </c>
      <c r="F444" s="221">
        <v>6166.5</v>
      </c>
      <c r="G444" s="172">
        <f t="shared" ref="G444" si="927">(F444-F443)/F443</f>
        <v>1.6219284729543428E-4</v>
      </c>
      <c r="H444" s="205">
        <f t="shared" ref="H444" si="928">(F444-F$2)/F$2</f>
        <v>0.21108863444429174</v>
      </c>
      <c r="I444" s="223">
        <v>340685.9</v>
      </c>
      <c r="J444" s="174">
        <v>350000</v>
      </c>
      <c r="K444" s="174">
        <f t="shared" ref="K444" si="929">I444-I443-J444+J443</f>
        <v>-2963.0499999999884</v>
      </c>
      <c r="L444" s="172">
        <f t="shared" ref="L444" si="930">K444/I443</f>
        <v>-8.6223164656839147E-3</v>
      </c>
      <c r="M444" s="184">
        <f t="shared" ref="M444" si="931">I444-J444</f>
        <v>-9314.0999999999767</v>
      </c>
      <c r="N444" s="186">
        <f t="shared" ref="N444" si="932">M444/J444</f>
        <v>-2.6611714285714218E-2</v>
      </c>
      <c r="O444" s="184" t="b">
        <f t="shared" ref="O444" si="933">L444&gt;D444</f>
        <v>0</v>
      </c>
      <c r="P444" s="186">
        <f>COUNTIF(O$2:O444, TRUE)/(COUNTIF(O$2:O444,FALSE) + COUNTIF(O$2:O444, TRUE))</f>
        <v>0.47855530474040631</v>
      </c>
      <c r="Q444" s="174">
        <v>280371.40000000002</v>
      </c>
      <c r="R444" s="174">
        <f t="shared" ref="R444" si="934">I444-Q444</f>
        <v>60314.5</v>
      </c>
      <c r="S444" s="174">
        <v>-45235</v>
      </c>
      <c r="T444" s="174">
        <f t="shared" ref="T444" si="935">M444-S444</f>
        <v>35920.900000000023</v>
      </c>
      <c r="U444" s="186">
        <f>STDEV(D$2:D444)*SQRT(252)</f>
        <v>0.14633286893407277</v>
      </c>
      <c r="V444" s="186">
        <f>STDEV(L$2:L444)*SQRT(252)</f>
        <v>0.31747170066336466</v>
      </c>
      <c r="W444" s="184">
        <f t="shared" ref="W444" si="936">N444/V444</f>
        <v>-8.3823894319110678E-2</v>
      </c>
    </row>
    <row r="445" spans="2:23" ht="20.100000000000001" customHeight="1" x14ac:dyDescent="0.25">
      <c r="B445" s="173">
        <v>42903</v>
      </c>
      <c r="C445" s="217">
        <v>2453.46</v>
      </c>
      <c r="D445" s="172">
        <f t="shared" ref="D445" si="937">(C445-C444)/C444</f>
        <v>8.2187502568359452E-3</v>
      </c>
      <c r="E445" s="211">
        <f t="shared" ref="E445" si="938">(C445-$C$2)/$C$2</f>
        <v>0.16695839120260267</v>
      </c>
      <c r="F445" s="221">
        <v>6239.01</v>
      </c>
      <c r="G445" s="172">
        <f t="shared" ref="G445" si="939">(F445-F444)/F444</f>
        <v>1.17586961809779E-2</v>
      </c>
      <c r="H445" s="205">
        <f t="shared" ref="H445" si="940">(F445-F$2)/F$2</f>
        <v>0.22532945774495758</v>
      </c>
      <c r="I445" s="223">
        <v>342070.2</v>
      </c>
      <c r="J445" s="174">
        <v>350000</v>
      </c>
      <c r="K445" s="174">
        <f t="shared" ref="K445" si="941">I445-I444-J445+J444</f>
        <v>1384.2999999999884</v>
      </c>
      <c r="L445" s="172">
        <f t="shared" ref="L445" si="942">K445/I444</f>
        <v>4.0632735314258331E-3</v>
      </c>
      <c r="M445" s="184">
        <f t="shared" ref="M445" si="943">I445-J445</f>
        <v>-7929.7999999999884</v>
      </c>
      <c r="N445" s="186">
        <f t="shared" ref="N445" si="944">M445/J445</f>
        <v>-2.2656571428571394E-2</v>
      </c>
      <c r="O445" s="184" t="b">
        <f t="shared" ref="O445" si="945">L445&gt;D445</f>
        <v>0</v>
      </c>
      <c r="P445" s="186">
        <f>COUNTIF(O$2:O445, TRUE)/(COUNTIF(O$2:O445,FALSE) + COUNTIF(O$2:O445, TRUE))</f>
        <v>0.47747747747747749</v>
      </c>
      <c r="Q445" s="174">
        <v>281755.7</v>
      </c>
      <c r="R445" s="174">
        <f t="shared" ref="R445" si="946">I445-Q445</f>
        <v>60314.5</v>
      </c>
      <c r="S445" s="174">
        <v>-44677</v>
      </c>
      <c r="T445" s="174">
        <f t="shared" ref="T445" si="947">M445-S445</f>
        <v>36747.200000000012</v>
      </c>
      <c r="U445" s="186">
        <f>STDEV(D$2:D445)*SQRT(252)</f>
        <v>0.14628696674144756</v>
      </c>
      <c r="V445" s="186">
        <f>STDEV(L$2:L445)*SQRT(252)</f>
        <v>0.31712481290126882</v>
      </c>
      <c r="W445" s="184">
        <f t="shared" ref="W445" si="948">N445/V445</f>
        <v>-7.1443704519031481E-2</v>
      </c>
    </row>
    <row r="446" spans="2:23" ht="20.100000000000001" customHeight="1" x14ac:dyDescent="0.25">
      <c r="B446" s="173">
        <v>42917</v>
      </c>
      <c r="C446" s="217">
        <v>2423.41</v>
      </c>
      <c r="D446" s="172">
        <f t="shared" ref="D446" si="949">(C446-C445)/C445</f>
        <v>-1.2248008934321399E-2</v>
      </c>
      <c r="E446" s="211">
        <f t="shared" ref="E446" si="950">(C446-$C$2)/$C$2</f>
        <v>0.15266547440117187</v>
      </c>
      <c r="F446" s="221">
        <v>6140.42</v>
      </c>
      <c r="G446" s="172">
        <f t="shared" ref="G446" si="951">(F446-F445)/F445</f>
        <v>-1.5802186564855665E-2</v>
      </c>
      <c r="H446" s="205">
        <f t="shared" ref="H446" si="952">(F446-F$2)/F$2</f>
        <v>0.20596657305025831</v>
      </c>
      <c r="I446" s="420">
        <v>340097.61</v>
      </c>
      <c r="J446" s="174">
        <v>350000</v>
      </c>
      <c r="K446" s="174">
        <f t="shared" ref="K446" si="953">I446-I445-J446+J445</f>
        <v>-1972.5900000000256</v>
      </c>
      <c r="L446" s="172">
        <f t="shared" ref="L446" si="954">K446/I445</f>
        <v>-5.7666233422263196E-3</v>
      </c>
      <c r="M446" s="420">
        <f t="shared" ref="M446" si="955">I446-J446</f>
        <v>-9902.390000000014</v>
      </c>
      <c r="N446" s="186">
        <f t="shared" ref="N446" si="956">M446/J446</f>
        <v>-2.8292542857142899E-2</v>
      </c>
      <c r="O446" s="184" t="b">
        <f t="shared" ref="O446" si="957">L446&gt;D446</f>
        <v>1</v>
      </c>
      <c r="P446" s="186">
        <f>COUNTIF(O$2:O446, TRUE)/(COUNTIF(O$2:O446,FALSE) + COUNTIF(O$2:O446, TRUE))</f>
        <v>0.47865168539325842</v>
      </c>
      <c r="Q446" s="174">
        <v>265669.75</v>
      </c>
      <c r="R446" s="174">
        <f t="shared" ref="R446" si="958">I446-Q446</f>
        <v>74427.859999999986</v>
      </c>
      <c r="S446" s="174">
        <v>-48327</v>
      </c>
      <c r="T446" s="174">
        <f t="shared" ref="T446:T457" si="959">M446-S446</f>
        <v>38424.609999999986</v>
      </c>
      <c r="U446" s="186">
        <f>STDEV(D$2:D446)*SQRT(252)</f>
        <v>0.14643166967945351</v>
      </c>
      <c r="V446" s="186">
        <f>STDEV(L$2:L446)*SQRT(252)</f>
        <v>0.31680015908275011</v>
      </c>
      <c r="W446" s="184">
        <f t="shared" ref="W446" si="960">N446/V446</f>
        <v>-8.930722427368705E-2</v>
      </c>
    </row>
    <row r="447" spans="2:23" ht="20.100000000000001" customHeight="1" x14ac:dyDescent="0.25">
      <c r="B447" s="173">
        <v>42932</v>
      </c>
      <c r="C447" s="217">
        <v>2459.27</v>
      </c>
      <c r="D447" s="172">
        <f t="shared" ref="D447" si="961">(C447-C446)/C446</f>
        <v>1.4797331033543696E-2</v>
      </c>
      <c r="E447" s="211">
        <f t="shared" ref="E447" si="962">(C447-$C$2)/$C$2</f>
        <v>0.16972184699682269</v>
      </c>
      <c r="F447" s="221">
        <v>6312.46</v>
      </c>
      <c r="G447" s="172">
        <f t="shared" ref="G447" si="963">(F447-F446)/F446</f>
        <v>2.801762745870803E-2</v>
      </c>
      <c r="H447" s="205">
        <f t="shared" ref="H447" si="964">(F447-F$2)/F$2</f>
        <v>0.23975489522163526</v>
      </c>
      <c r="I447" s="223">
        <v>337505.3</v>
      </c>
      <c r="J447" s="174">
        <v>350000</v>
      </c>
      <c r="K447" s="174">
        <f t="shared" ref="K447" si="965">I447-I446-J447+J446</f>
        <v>-2592.3099999999977</v>
      </c>
      <c r="L447" s="172">
        <f t="shared" ref="L447" si="966">K447/I446</f>
        <v>-7.6222529173315791E-3</v>
      </c>
      <c r="M447" s="184">
        <f t="shared" ref="M447" si="967">I447-J447</f>
        <v>-12494.700000000012</v>
      </c>
      <c r="N447" s="186">
        <f t="shared" ref="N447" si="968">M447/J447</f>
        <v>-3.5699142857142888E-2</v>
      </c>
      <c r="O447" s="184" t="b">
        <f t="shared" ref="O447" si="969">L447&gt;D447</f>
        <v>0</v>
      </c>
      <c r="P447" s="186">
        <f>COUNTIF(O$2:O447, TRUE)/(COUNTIF(O$2:O447,FALSE) + COUNTIF(O$2:O447, TRUE))</f>
        <v>0.47757847533632286</v>
      </c>
      <c r="Q447" s="174">
        <v>271259.02</v>
      </c>
      <c r="R447" s="174">
        <f t="shared" ref="R447" si="970">I447-Q447</f>
        <v>66246.27999999997</v>
      </c>
      <c r="S447" s="174"/>
      <c r="T447" s="174"/>
      <c r="U447" s="186">
        <f>STDEV(D$2:D447)*SQRT(252)</f>
        <v>0.14666948290901966</v>
      </c>
      <c r="V447" s="186">
        <f>STDEV(L$2:L447)*SQRT(252)</f>
        <v>0.31649981867146626</v>
      </c>
      <c r="W447" s="184">
        <f t="shared" ref="W447" si="971">N447/V447</f>
        <v>-0.11279356495998305</v>
      </c>
    </row>
    <row r="448" spans="2:23" ht="20.100000000000001" customHeight="1" x14ac:dyDescent="0.25">
      <c r="B448" s="173">
        <v>42935</v>
      </c>
      <c r="C448" s="217">
        <v>2473.83</v>
      </c>
      <c r="D448" s="172">
        <f t="shared" ref="D448" si="972">(C448-C447)/C447</f>
        <v>5.9204560702972612E-3</v>
      </c>
      <c r="E448" s="211">
        <f t="shared" ref="E448" si="973">(C448-$C$2)/$C$2</f>
        <v>0.17664713380643438</v>
      </c>
      <c r="F448" s="221">
        <v>6385.04</v>
      </c>
      <c r="G448" s="172">
        <f t="shared" ref="G448" si="974">(F448-F447)/F447</f>
        <v>1.1497894640124441E-2</v>
      </c>
      <c r="H448" s="205">
        <f t="shared" ref="H448" si="975">(F448-F$2)/F$2</f>
        <v>0.25400946638647215</v>
      </c>
      <c r="I448" s="223">
        <v>343410.37</v>
      </c>
      <c r="J448" s="174">
        <v>350000</v>
      </c>
      <c r="K448" s="174">
        <f t="shared" ref="K448" si="976">I448-I447-J448+J447</f>
        <v>5905.070000000007</v>
      </c>
      <c r="L448" s="172">
        <f t="shared" ref="L448" si="977">K448/I447</f>
        <v>1.7496228948108393E-2</v>
      </c>
      <c r="M448" s="184">
        <f t="shared" ref="M448" si="978">I448-J448</f>
        <v>-6589.6300000000047</v>
      </c>
      <c r="N448" s="186">
        <f t="shared" ref="N448" si="979">M448/J448</f>
        <v>-1.8827514285714299E-2</v>
      </c>
      <c r="O448" s="184" t="b">
        <f t="shared" ref="O448" si="980">L448&gt;D448</f>
        <v>1</v>
      </c>
      <c r="P448" s="186">
        <f>COUNTIF(O$2:O448, TRUE)/(COUNTIF(O$2:O448,FALSE) + COUNTIF(O$2:O448, TRUE))</f>
        <v>0.47874720357941836</v>
      </c>
      <c r="Q448" s="174">
        <v>277164.09000000003</v>
      </c>
      <c r="R448" s="174">
        <f t="shared" ref="R448" si="981">I448-Q448</f>
        <v>66246.27999999997</v>
      </c>
      <c r="S448" s="174"/>
      <c r="T448" s="174"/>
      <c r="U448" s="186">
        <f>STDEV(D$2:D448)*SQRT(252)</f>
        <v>0.14656345819426395</v>
      </c>
      <c r="V448" s="186">
        <f>STDEV(L$2:L448)*SQRT(252)</f>
        <v>0.31640768671182717</v>
      </c>
      <c r="W448" s="184">
        <f t="shared" ref="W448" si="982">N448/V448</f>
        <v>-5.9503972489965855E-2</v>
      </c>
    </row>
    <row r="449" spans="2:23" ht="20.100000000000001" customHeight="1" x14ac:dyDescent="0.25">
      <c r="B449" s="173">
        <v>42939</v>
      </c>
      <c r="C449" s="217">
        <v>2472.54</v>
      </c>
      <c r="D449" s="172">
        <f t="shared" ref="D449" si="983">(C449-C448)/C448</f>
        <v>-5.214586289275996E-4</v>
      </c>
      <c r="E449" s="211">
        <f t="shared" ref="E449" si="984">(C449-$C$2)/$C$2</f>
        <v>0.17603356100530806</v>
      </c>
      <c r="F449" s="221">
        <v>6387.75</v>
      </c>
      <c r="G449" s="172">
        <f t="shared" ref="G449" si="985">(F449-F448)/F448</f>
        <v>4.2442960419982275E-4</v>
      </c>
      <c r="H449" s="205">
        <f t="shared" ref="H449" si="986">(F449-F$2)/F$2</f>
        <v>0.25454170512795338</v>
      </c>
      <c r="I449" s="223">
        <v>341551.16</v>
      </c>
      <c r="J449" s="174">
        <v>350000</v>
      </c>
      <c r="K449" s="174">
        <f t="shared" ref="K449" si="987">I449-I448-J449+J448</f>
        <v>-1859.210000000021</v>
      </c>
      <c r="L449" s="172">
        <f t="shared" ref="L449" si="988">K449/I448</f>
        <v>-5.4139599803000151E-3</v>
      </c>
      <c r="M449" s="184">
        <f t="shared" ref="M449" si="989">I449-J449</f>
        <v>-8448.8400000000256</v>
      </c>
      <c r="N449" s="186">
        <f t="shared" ref="N449" si="990">M449/J449</f>
        <v>-2.4139542857142929E-2</v>
      </c>
      <c r="O449" s="184" t="b">
        <f t="shared" ref="O449" si="991">L449&gt;D449</f>
        <v>0</v>
      </c>
      <c r="P449" s="186">
        <f>COUNTIF(O$2:O449, TRUE)/(COUNTIF(O$2:O449,FALSE) + COUNTIF(O$2:O449, TRUE))</f>
        <v>0.47767857142857145</v>
      </c>
      <c r="Q449" s="174">
        <v>272191.45</v>
      </c>
      <c r="R449" s="174">
        <f t="shared" ref="R449" si="992">I449-Q449</f>
        <v>69359.709999999963</v>
      </c>
      <c r="S449" s="174"/>
      <c r="T449" s="174"/>
      <c r="U449" s="186">
        <f>STDEV(D$2:D449)*SQRT(252)</f>
        <v>0.14640071777698352</v>
      </c>
      <c r="V449" s="186">
        <f>STDEV(L$2:L449)*SQRT(252)</f>
        <v>0.3160824345317183</v>
      </c>
      <c r="W449" s="184">
        <f t="shared" ref="W449" si="993">N449/V449</f>
        <v>-7.6371035590465777E-2</v>
      </c>
    </row>
    <row r="450" spans="2:23" ht="20.100000000000001" customHeight="1" x14ac:dyDescent="0.25">
      <c r="B450" s="173">
        <v>42940</v>
      </c>
      <c r="C450" s="217">
        <v>2469.91</v>
      </c>
      <c r="D450" s="172">
        <f t="shared" ref="D450" si="994">(C450-C449)/C449</f>
        <v>-1.0636834995592019E-3</v>
      </c>
      <c r="E450" s="211">
        <f t="shared" ref="E450" si="995">(C450-$C$2)/$C$2</f>
        <v>0.17478263351153889</v>
      </c>
      <c r="F450" s="221">
        <v>6410.8</v>
      </c>
      <c r="G450" s="172">
        <f t="shared" ref="G450" si="996">(F450-F449)/F449</f>
        <v>3.6084693358381563E-3</v>
      </c>
      <c r="H450" s="205">
        <f t="shared" ref="H450" si="997">(F450-F$2)/F$2</f>
        <v>0.25906868040143771</v>
      </c>
      <c r="I450" s="223">
        <v>340982.83</v>
      </c>
      <c r="J450" s="174">
        <v>350000</v>
      </c>
      <c r="K450" s="174">
        <f t="shared" ref="K450" si="998">I450-I449-J450+J449</f>
        <v>-568.32999999995809</v>
      </c>
      <c r="L450" s="172">
        <f t="shared" ref="L450" si="999">K450/I449</f>
        <v>-1.6639674126709397E-3</v>
      </c>
      <c r="M450" s="184">
        <f t="shared" ref="M450" si="1000">I450-J450</f>
        <v>-9017.1699999999837</v>
      </c>
      <c r="N450" s="186">
        <f t="shared" ref="N450" si="1001">M450/J450</f>
        <v>-2.576334285714281E-2</v>
      </c>
      <c r="O450" s="184" t="b">
        <f t="shared" ref="O450" si="1002">L450&gt;D450</f>
        <v>0</v>
      </c>
      <c r="P450" s="186">
        <f>COUNTIF(O$2:O450, TRUE)/(COUNTIF(O$2:O450,FALSE) + COUNTIF(O$2:O450, TRUE))</f>
        <v>0.47661469933184858</v>
      </c>
      <c r="Q450" s="174">
        <v>270948.21000000002</v>
      </c>
      <c r="R450" s="174">
        <f t="shared" ref="R450" si="1003">I450-Q450</f>
        <v>70034.62</v>
      </c>
      <c r="S450" s="174"/>
      <c r="T450" s="174"/>
      <c r="U450" s="186">
        <f>STDEV(D$2:D450)*SQRT(252)</f>
        <v>0.14624101621643504</v>
      </c>
      <c r="V450" s="186">
        <f>STDEV(L$2:L450)*SQRT(252)</f>
        <v>0.31573225572131869</v>
      </c>
      <c r="W450" s="184">
        <f t="shared" ref="W450" si="1004">N450/V450</f>
        <v>-8.1598703934395736E-2</v>
      </c>
    </row>
    <row r="451" spans="2:23" ht="20.100000000000001" customHeight="1" x14ac:dyDescent="0.25">
      <c r="B451" s="173">
        <v>42941</v>
      </c>
      <c r="C451" s="217">
        <v>2477.13</v>
      </c>
      <c r="D451" s="172">
        <f t="shared" ref="D451" si="1005">(C451-C450)/C450</f>
        <v>2.9231834358337976E-3</v>
      </c>
      <c r="E451" s="211">
        <f t="shared" ref="E451" si="1006">(C451-$C$2)/$C$2</f>
        <v>0.17821673864652501</v>
      </c>
      <c r="F451" s="221">
        <v>6412.17</v>
      </c>
      <c r="G451" s="172">
        <f t="shared" ref="G451" si="1007">(F451-F450)/F450</f>
        <v>2.1370187808072172E-4</v>
      </c>
      <c r="H451" s="205">
        <f t="shared" ref="H451" si="1008">(F451-F$2)/F$2</f>
        <v>0.25933774574307211</v>
      </c>
      <c r="I451" s="223">
        <v>346881.69</v>
      </c>
      <c r="J451" s="174">
        <v>350000</v>
      </c>
      <c r="K451" s="174">
        <f t="shared" ref="K451" si="1009">I451-I450-J451+J450</f>
        <v>5898.859999999986</v>
      </c>
      <c r="L451" s="172">
        <f t="shared" ref="L451" si="1010">K451/I450</f>
        <v>1.7299580744285527E-2</v>
      </c>
      <c r="M451" s="184">
        <f t="shared" ref="M451" si="1011">I451-J451</f>
        <v>-3118.3099999999977</v>
      </c>
      <c r="N451" s="186">
        <f t="shared" ref="N451" si="1012">M451/J451</f>
        <v>-8.9094571428571367E-3</v>
      </c>
      <c r="O451" s="184" t="b">
        <f t="shared" ref="O451" si="1013">L451&gt;D451</f>
        <v>1</v>
      </c>
      <c r="P451" s="186">
        <f>COUNTIF(O$2:O451, TRUE)/(COUNTIF(O$2:O451,FALSE) + COUNTIF(O$2:O451, TRUE))</f>
        <v>0.4777777777777778</v>
      </c>
      <c r="Q451" s="174">
        <v>271847.19</v>
      </c>
      <c r="R451" s="174">
        <f t="shared" ref="R451" si="1014">I451-Q451</f>
        <v>75034.5</v>
      </c>
      <c r="S451" s="174"/>
      <c r="T451" s="174"/>
      <c r="U451" s="186">
        <f>STDEV(D$2:D451)*SQRT(252)</f>
        <v>0.14608992125066686</v>
      </c>
      <c r="V451" s="186">
        <f>STDEV(L$2:L451)*SQRT(252)</f>
        <v>0.31563562645422927</v>
      </c>
      <c r="W451" s="184">
        <f t="shared" ref="W451" si="1015">N451/V451</f>
        <v>-2.8227032679877501E-2</v>
      </c>
    </row>
    <row r="452" spans="2:23" ht="20.100000000000001" customHeight="1" x14ac:dyDescent="0.25">
      <c r="B452" s="173">
        <v>42942</v>
      </c>
      <c r="C452" s="217">
        <v>2477.83</v>
      </c>
      <c r="D452" s="172">
        <f t="shared" ref="D452" si="1016">(C452-C451)/C451</f>
        <v>2.8258508838850525E-4</v>
      </c>
      <c r="E452" s="211">
        <f t="shared" ref="E452" si="1017">(C452-$C$2)/$C$2</f>
        <v>0.17854968512775626</v>
      </c>
      <c r="F452" s="221">
        <v>6422.74</v>
      </c>
      <c r="G452" s="172">
        <f t="shared" ref="G452" si="1018">(F452-F451)/F451</f>
        <v>1.6484279112998733E-3</v>
      </c>
      <c r="H452" s="205">
        <f t="shared" ref="H452" si="1019">(F452-F$2)/F$2</f>
        <v>0.26141367323290848</v>
      </c>
      <c r="I452" s="223">
        <v>344935.7</v>
      </c>
      <c r="J452" s="174">
        <v>350000</v>
      </c>
      <c r="K452" s="174">
        <f t="shared" ref="K452" si="1020">I452-I451-J452+J451</f>
        <v>-1945.9899999999907</v>
      </c>
      <c r="L452" s="172">
        <f t="shared" ref="L452" si="1021">K452/I451</f>
        <v>-5.6099530649772571E-3</v>
      </c>
      <c r="M452" s="184">
        <f t="shared" ref="M452" si="1022">I452-J452</f>
        <v>-5064.2999999999884</v>
      </c>
      <c r="N452" s="186">
        <f t="shared" ref="N452" si="1023">M452/J452</f>
        <v>-1.4469428571428538E-2</v>
      </c>
      <c r="O452" s="184" t="b">
        <f t="shared" ref="O452" si="1024">L452&gt;D452</f>
        <v>0</v>
      </c>
      <c r="P452" s="186">
        <f>COUNTIF(O$2:O452, TRUE)/(COUNTIF(O$2:O452,FALSE) + COUNTIF(O$2:O452, TRUE))</f>
        <v>0.47671840354767187</v>
      </c>
      <c r="Q452" s="174">
        <v>271848.19</v>
      </c>
      <c r="R452" s="174">
        <f t="shared" ref="R452" si="1025">I452-Q452</f>
        <v>73087.510000000009</v>
      </c>
      <c r="S452" s="174"/>
      <c r="T452" s="174"/>
      <c r="U452" s="186">
        <f>STDEV(D$2:D452)*SQRT(252)</f>
        <v>0.14592717685018944</v>
      </c>
      <c r="V452" s="186">
        <f>STDEV(L$2:L452)*SQRT(252)</f>
        <v>0.31531573939865265</v>
      </c>
      <c r="W452" s="184">
        <f t="shared" ref="W452" si="1026">N452/V452</f>
        <v>-4.588869746566912E-2</v>
      </c>
    </row>
    <row r="453" spans="2:23" ht="20.100000000000001" customHeight="1" x14ac:dyDescent="0.25">
      <c r="B453" s="173">
        <v>42943</v>
      </c>
      <c r="C453" s="217">
        <v>2475.42</v>
      </c>
      <c r="D453" s="172">
        <f t="shared" ref="D453" si="1027">(C453-C452)/C452</f>
        <v>-9.7262524063388312E-4</v>
      </c>
      <c r="E453" s="211">
        <f t="shared" ref="E453" si="1028">(C453-$C$2)/$C$2</f>
        <v>0.17740339795665988</v>
      </c>
      <c r="F453" s="221">
        <v>6382.18</v>
      </c>
      <c r="G453" s="172">
        <f t="shared" ref="G453" si="1029">(F453-F452)/F452</f>
        <v>-6.3150617960558101E-3</v>
      </c>
      <c r="H453" s="205">
        <f t="shared" ref="H453" si="1030">(F453-F$2)/F$2</f>
        <v>0.25344776793605289</v>
      </c>
      <c r="I453" s="223">
        <v>347779.66</v>
      </c>
      <c r="J453" s="174">
        <v>350000</v>
      </c>
      <c r="K453" s="174">
        <f t="shared" ref="K453" si="1031">I453-I452-J453+J452</f>
        <v>2843.9599999999627</v>
      </c>
      <c r="L453" s="172">
        <f t="shared" ref="L453" si="1032">K453/I452</f>
        <v>8.2448989768236884E-3</v>
      </c>
      <c r="M453" s="184">
        <f t="shared" ref="M453" si="1033">I453-J453</f>
        <v>-2220.3400000000256</v>
      </c>
      <c r="N453" s="186">
        <f t="shared" ref="N453" si="1034">M453/J453</f>
        <v>-6.343828571428645E-3</v>
      </c>
      <c r="O453" s="184" t="b">
        <f t="shared" ref="O453" si="1035">L453&gt;D453</f>
        <v>1</v>
      </c>
      <c r="P453" s="186">
        <f>COUNTIF(O$2:O453, TRUE)/(COUNTIF(O$2:O453,FALSE) + COUNTIF(O$2:O453, TRUE))</f>
        <v>0.47787610619469029</v>
      </c>
      <c r="Q453" s="174">
        <v>282618.7</v>
      </c>
      <c r="R453" s="174">
        <f t="shared" ref="R453" si="1036">I453-Q453</f>
        <v>65160.959999999963</v>
      </c>
      <c r="S453" s="174"/>
      <c r="T453" s="174"/>
      <c r="U453" s="186">
        <f>STDEV(D$2:D453)*SQRT(252)</f>
        <v>0.14576859451697097</v>
      </c>
      <c r="V453" s="186">
        <f>STDEV(L$2:L453)*SQRT(252)</f>
        <v>0.31502032970329025</v>
      </c>
      <c r="W453" s="184">
        <f t="shared" ref="W453" si="1037">N453/V453</f>
        <v>-2.0137838651250659E-2</v>
      </c>
    </row>
    <row r="454" spans="2:23" ht="20.100000000000001" customHeight="1" x14ac:dyDescent="0.25">
      <c r="B454" s="173">
        <v>42944</v>
      </c>
      <c r="C454" s="217">
        <v>2472.1</v>
      </c>
      <c r="D454" s="172">
        <f t="shared" ref="D454" si="1038">(C454-C453)/C453</f>
        <v>-1.3411865461215324E-3</v>
      </c>
      <c r="E454" s="211">
        <f t="shared" ref="E454" si="1039">(C454-$C$2)/$C$2</f>
        <v>0.17582428035996264</v>
      </c>
      <c r="F454" s="221">
        <v>6374.37</v>
      </c>
      <c r="G454" s="172">
        <f t="shared" ref="G454" si="1040">(F454-F453)/F453</f>
        <v>-1.223719794803719E-3</v>
      </c>
      <c r="H454" s="205">
        <f t="shared" ref="H454" si="1041">(F454-F$2)/F$2</f>
        <v>0.25191389909067702</v>
      </c>
      <c r="I454" s="223">
        <v>349490.54</v>
      </c>
      <c r="J454" s="174">
        <v>350000</v>
      </c>
      <c r="K454" s="174">
        <f t="shared" ref="K454" si="1042">I454-I453-J454+J453</f>
        <v>1710.8800000000047</v>
      </c>
      <c r="L454" s="172">
        <f t="shared" ref="L454" si="1043">K454/I453</f>
        <v>4.919436634103342E-3</v>
      </c>
      <c r="M454" s="184">
        <f t="shared" ref="M454" si="1044">I454-J454</f>
        <v>-509.46000000002095</v>
      </c>
      <c r="N454" s="186">
        <f t="shared" ref="N454" si="1045">M454/J454</f>
        <v>-1.4556000000000599E-3</v>
      </c>
      <c r="O454" s="184" t="b">
        <f t="shared" ref="O454" si="1046">L454&gt;D454</f>
        <v>1</v>
      </c>
      <c r="P454" s="186">
        <f>COUNTIF(O$2:O454, TRUE)/(COUNTIF(O$2:O454,FALSE) + COUNTIF(O$2:O454, TRUE))</f>
        <v>0.47902869757174393</v>
      </c>
      <c r="Q454" s="174">
        <v>280096.03000000003</v>
      </c>
      <c r="R454" s="174">
        <f t="shared" ref="R454" si="1047">I454-Q454</f>
        <v>69394.509999999951</v>
      </c>
      <c r="S454" s="174"/>
      <c r="T454" s="174"/>
      <c r="U454" s="186">
        <f>STDEV(D$2:D454)*SQRT(252)</f>
        <v>0.14561273064343241</v>
      </c>
      <c r="V454" s="186">
        <f>STDEV(L$2:L454)*SQRT(252)</f>
        <v>0.3146891603387108</v>
      </c>
      <c r="W454" s="184">
        <f t="shared" ref="W454" si="1048">N454/V454</f>
        <v>-4.6255168065952677E-3</v>
      </c>
    </row>
    <row r="455" spans="2:23" ht="20.100000000000001" customHeight="1" x14ac:dyDescent="0.25">
      <c r="B455" s="173">
        <v>42947</v>
      </c>
      <c r="C455" s="217">
        <v>2470.3000000000002</v>
      </c>
      <c r="D455" s="172">
        <f t="shared" ref="D455" si="1049">(C455-C454)/C454</f>
        <v>-7.2812588487509696E-4</v>
      </c>
      <c r="E455" s="211">
        <f t="shared" ref="E455" si="1050">(C455-$C$2)/$C$2</f>
        <v>0.17496813226536792</v>
      </c>
      <c r="F455" s="221">
        <v>6348.12</v>
      </c>
      <c r="G455" s="172">
        <f t="shared" ref="G455" si="1051">(F455-F454)/F454</f>
        <v>-4.1180540194560404E-3</v>
      </c>
      <c r="H455" s="205">
        <f t="shared" ref="H455" si="1052">(F455-F$2)/F$2</f>
        <v>0.24675845002651375</v>
      </c>
      <c r="I455" s="483">
        <v>348754.42</v>
      </c>
      <c r="J455" s="174">
        <v>350000</v>
      </c>
      <c r="K455" s="174">
        <f t="shared" ref="K455" si="1053">I455-I454-J455+J454</f>
        <v>-736.11999999999534</v>
      </c>
      <c r="L455" s="172">
        <f t="shared" ref="L455" si="1054">K455/I454</f>
        <v>-2.1062658806158111E-3</v>
      </c>
      <c r="M455" s="483">
        <f t="shared" ref="M455" si="1055">I455-J455</f>
        <v>-1245.5800000000163</v>
      </c>
      <c r="N455" s="186">
        <f t="shared" ref="N455" si="1056">M455/J455</f>
        <v>-3.5588000000000464E-3</v>
      </c>
      <c r="O455" s="184" t="b">
        <f t="shared" ref="O455" si="1057">L455&gt;D455</f>
        <v>0</v>
      </c>
      <c r="P455" s="186">
        <f>COUNTIF(O$2:O455, TRUE)/(COUNTIF(O$2:O455,FALSE) + COUNTIF(O$2:O455, TRUE))</f>
        <v>0.47797356828193832</v>
      </c>
      <c r="Q455" s="174">
        <v>280782.40999999997</v>
      </c>
      <c r="R455" s="174">
        <f t="shared" ref="R455" si="1058">I455-Q455</f>
        <v>67972.010000000009</v>
      </c>
      <c r="S455" s="174"/>
      <c r="T455" s="174"/>
      <c r="U455" s="186">
        <f>STDEV(D$2:D455)*SQRT(252)</f>
        <v>0.14545400037786788</v>
      </c>
      <c r="V455" s="186">
        <f>STDEV(L$2:L455)*SQRT(252)</f>
        <v>0.31434636500825969</v>
      </c>
      <c r="W455" s="184">
        <f t="shared" ref="W455" si="1059">N455/V455</f>
        <v>-1.1321269771662658E-2</v>
      </c>
    </row>
    <row r="456" spans="2:23" ht="20.100000000000001" customHeight="1" x14ac:dyDescent="0.25">
      <c r="B456" s="173">
        <v>42949</v>
      </c>
      <c r="C456" s="217">
        <v>2477.5700000000002</v>
      </c>
      <c r="D456" s="172">
        <f t="shared" ref="D456" si="1060">(C456-C455)/C455</f>
        <v>2.9429623932315839E-3</v>
      </c>
      <c r="E456" s="211">
        <f t="shared" ref="E456" si="1061">(C456-$C$2)/$C$2</f>
        <v>0.17842601929187044</v>
      </c>
      <c r="F456" s="221">
        <v>6362.64</v>
      </c>
      <c r="G456" s="172">
        <f t="shared" ref="G456" si="1062">(F456-F455)/F455</f>
        <v>2.2872913555510035E-3</v>
      </c>
      <c r="H456" s="205">
        <f t="shared" ref="H456" si="1063">(F456-F$2)/F$2</f>
        <v>0.24961014985171959</v>
      </c>
      <c r="I456" s="223">
        <v>346224.68</v>
      </c>
      <c r="J456" s="174">
        <v>350000</v>
      </c>
      <c r="K456" s="174">
        <f t="shared" ref="K456" si="1064">I456-I455-J456+J455</f>
        <v>-2529.7399999999907</v>
      </c>
      <c r="L456" s="172">
        <f t="shared" ref="L456" si="1065">K456/I455</f>
        <v>-7.2536428355517062E-3</v>
      </c>
      <c r="M456" s="184">
        <f t="shared" ref="M456" si="1066">I456-J456</f>
        <v>-3775.320000000007</v>
      </c>
      <c r="N456" s="186">
        <f t="shared" ref="N456" si="1067">M456/J456</f>
        <v>-1.0786628571428591E-2</v>
      </c>
      <c r="O456" s="184" t="b">
        <f t="shared" ref="O456" si="1068">L456&gt;D456</f>
        <v>0</v>
      </c>
      <c r="P456" s="186">
        <f>COUNTIF(O$2:O456, TRUE)/(COUNTIF(O$2:O456,FALSE) + COUNTIF(O$2:O456, TRUE))</f>
        <v>0.47692307692307695</v>
      </c>
      <c r="Q456" s="174">
        <v>285608.7</v>
      </c>
      <c r="R456" s="174">
        <f t="shared" ref="R456" si="1069">I456-Q456</f>
        <v>60615.979999999981</v>
      </c>
      <c r="S456" s="174"/>
      <c r="T456" s="174"/>
      <c r="U456" s="186">
        <f>STDEV(D$2:D456)*SQRT(252)</f>
        <v>0.14530573959175411</v>
      </c>
      <c r="V456" s="186">
        <f>STDEV(L$2:L456)*SQRT(252)</f>
        <v>0.31405074697791074</v>
      </c>
      <c r="W456" s="184">
        <f t="shared" ref="W456" si="1070">N456/V456</f>
        <v>-3.4346769352493485E-2</v>
      </c>
    </row>
    <row r="457" spans="2:23" ht="20.100000000000001" customHeight="1" x14ac:dyDescent="0.25">
      <c r="B457" s="173">
        <v>42950</v>
      </c>
      <c r="C457" s="217">
        <v>2472.16</v>
      </c>
      <c r="D457" s="172">
        <f t="shared" ref="D457" si="1071">(C457-C456)/C456</f>
        <v>-2.1835911800676907E-3</v>
      </c>
      <c r="E457" s="211">
        <f t="shared" ref="E457" si="1072">(C457-$C$2)/$C$2</f>
        <v>0.17585281862978244</v>
      </c>
      <c r="F457" s="221">
        <v>6340.34</v>
      </c>
      <c r="G457" s="172">
        <f t="shared" ref="G457" si="1073">(F457-F456)/F456</f>
        <v>-3.5048344712258089E-3</v>
      </c>
      <c r="H457" s="205">
        <f t="shared" ref="H457" si="1074">(F457-F$2)/F$2</f>
        <v>0.24523047312292562</v>
      </c>
      <c r="I457" s="223">
        <v>348198.95</v>
      </c>
      <c r="J457" s="174">
        <v>350000</v>
      </c>
      <c r="K457" s="174">
        <f t="shared" ref="K457" si="1075">I457-I456-J457+J456</f>
        <v>1974.2700000000186</v>
      </c>
      <c r="L457" s="172">
        <f t="shared" ref="L457" si="1076">K457/I456</f>
        <v>5.7022798028148044E-3</v>
      </c>
      <c r="M457" s="184">
        <f t="shared" ref="M457" si="1077">I457-J457</f>
        <v>-1801.0499999999884</v>
      </c>
      <c r="N457" s="186">
        <f t="shared" ref="N457" si="1078">M457/J457</f>
        <v>-5.1458571428571092E-3</v>
      </c>
      <c r="O457" s="184" t="b">
        <f t="shared" ref="O457" si="1079">L457&gt;D457</f>
        <v>1</v>
      </c>
      <c r="P457" s="186">
        <f>COUNTIF(O$2:O457, TRUE)/(COUNTIF(O$2:O457,FALSE) + COUNTIF(O$2:O457, TRUE))</f>
        <v>0.47807017543859648</v>
      </c>
      <c r="Q457" s="174">
        <v>289835.09999999998</v>
      </c>
      <c r="R457" s="174">
        <f t="shared" ref="R457" si="1080">I457-Q457</f>
        <v>58363.850000000035</v>
      </c>
      <c r="S457" s="174">
        <v>-40278</v>
      </c>
      <c r="T457" s="174">
        <f t="shared" si="959"/>
        <v>38476.950000000012</v>
      </c>
      <c r="U457" s="186">
        <f>STDEV(D$2:D457)*SQRT(252)</f>
        <v>0.14515839119279755</v>
      </c>
      <c r="V457" s="186">
        <f>STDEV(L$2:L457)*SQRT(252)</f>
        <v>0.31372982471955946</v>
      </c>
      <c r="W457" s="184">
        <f t="shared" ref="W457" si="1081">N457/V457</f>
        <v>-1.6402193025342581E-2</v>
      </c>
    </row>
    <row r="458" spans="2:23" ht="20.100000000000001" customHeight="1" x14ac:dyDescent="0.25">
      <c r="B458" s="173">
        <v>42951</v>
      </c>
      <c r="C458" s="217">
        <v>2476.83</v>
      </c>
      <c r="D458" s="172">
        <f t="shared" ref="D458" si="1082">(C458-C457)/C457</f>
        <v>1.8890363083295875E-3</v>
      </c>
      <c r="E458" s="211">
        <f t="shared" ref="E458" si="1083">(C458-$C$2)/$C$2</f>
        <v>0.17807404729742579</v>
      </c>
      <c r="F458" s="221">
        <v>6351.56</v>
      </c>
      <c r="G458" s="172">
        <f t="shared" ref="G458" si="1084">(F458-F457)/F457</f>
        <v>1.7696211875073346E-3</v>
      </c>
      <c r="H458" s="205">
        <f t="shared" ref="H458" si="1085">(F458-F$2)/F$2</f>
        <v>0.24743405935149373</v>
      </c>
      <c r="I458" s="223">
        <v>352188.09</v>
      </c>
      <c r="J458" s="174">
        <v>350000</v>
      </c>
      <c r="K458" s="174">
        <f t="shared" ref="K458" si="1086">I458-I457-J458+J457</f>
        <v>3989.140000000014</v>
      </c>
      <c r="L458" s="172">
        <f t="shared" ref="L458" si="1087">K458/I457</f>
        <v>1.1456496350721374E-2</v>
      </c>
      <c r="M458" s="184">
        <f t="shared" ref="M458" si="1088">I458-J458</f>
        <v>2188.0900000000256</v>
      </c>
      <c r="N458" s="186">
        <f t="shared" ref="N458" si="1089">M458/J458</f>
        <v>6.2516857142857875E-3</v>
      </c>
      <c r="O458" s="184" t="b">
        <f t="shared" ref="O458" si="1090">L458&gt;D458</f>
        <v>1</v>
      </c>
      <c r="P458" s="186">
        <f>COUNTIF(O$2:O458, TRUE)/(COUNTIF(O$2:O458,FALSE) + COUNTIF(O$2:O458, TRUE))</f>
        <v>0.47921225382932164</v>
      </c>
      <c r="Q458" s="174">
        <v>296464.17</v>
      </c>
      <c r="R458" s="174">
        <f t="shared" ref="R458" si="1091">I458-Q458</f>
        <v>55723.920000000042</v>
      </c>
      <c r="S458" s="174">
        <v>-36936</v>
      </c>
      <c r="T458" s="174">
        <f t="shared" ref="T458" si="1092">M458-S458</f>
        <v>39124.090000000026</v>
      </c>
      <c r="U458" s="186">
        <f>STDEV(D$2:D458)*SQRT(252)</f>
        <v>0.14500302685679403</v>
      </c>
      <c r="V458" s="186">
        <f>STDEV(L$2:L458)*SQRT(252)</f>
        <v>0.31349308569145112</v>
      </c>
      <c r="W458" s="184">
        <f t="shared" ref="W458" si="1093">N458/V458</f>
        <v>1.9942021051267699E-2</v>
      </c>
    </row>
    <row r="459" spans="2:23" ht="20.100000000000001" customHeight="1" x14ac:dyDescent="0.25">
      <c r="B459" s="173">
        <v>42952</v>
      </c>
      <c r="C459" s="217">
        <v>2480.91</v>
      </c>
      <c r="D459" s="172">
        <f t="shared" ref="D459" si="1094">(C459-C458)/C458</f>
        <v>1.6472668693450609E-3</v>
      </c>
      <c r="E459" s="211">
        <f t="shared" ref="E459" si="1095">(C459-$C$2)/$C$2</f>
        <v>0.18001464964517408</v>
      </c>
      <c r="F459" s="221">
        <v>6383.77</v>
      </c>
      <c r="G459" s="172">
        <f t="shared" ref="G459" si="1096">(F459-F458)/F458</f>
        <v>5.0711951079734797E-3</v>
      </c>
      <c r="H459" s="205">
        <f t="shared" ref="H459" si="1097">(F459-F$2)/F$2</f>
        <v>0.25376004085079651</v>
      </c>
      <c r="I459" s="223">
        <v>348235.03</v>
      </c>
      <c r="J459" s="174">
        <v>350000</v>
      </c>
      <c r="K459" s="174">
        <f t="shared" ref="K459" si="1098">I459-I458-J459+J458</f>
        <v>-3953.0599999999977</v>
      </c>
      <c r="L459" s="172">
        <f t="shared" ref="L459" si="1099">K459/I458</f>
        <v>-1.1224286431718907E-2</v>
      </c>
      <c r="M459" s="184">
        <f t="shared" ref="M459" si="1100">I459-J459</f>
        <v>-1764.9699999999721</v>
      </c>
      <c r="N459" s="186">
        <f t="shared" ref="N459" si="1101">M459/J459</f>
        <v>-5.0427714285713491E-3</v>
      </c>
      <c r="O459" s="184" t="b">
        <f t="shared" ref="O459" si="1102">L459&gt;D459</f>
        <v>0</v>
      </c>
      <c r="P459" s="186">
        <f>COUNTIF(O$2:O459, TRUE)/(COUNTIF(O$2:O459,FALSE) + COUNTIF(O$2:O459, TRUE))</f>
        <v>0.47816593886462883</v>
      </c>
      <c r="Q459" s="174">
        <v>292511.11</v>
      </c>
      <c r="R459" s="174">
        <f t="shared" ref="R459" si="1103">I459-Q459</f>
        <v>55723.920000000042</v>
      </c>
      <c r="S459" s="174">
        <v>-40990</v>
      </c>
      <c r="T459" s="174">
        <f t="shared" ref="T459" si="1104">M459-S459</f>
        <v>39225.030000000028</v>
      </c>
      <c r="U459" s="186">
        <f>STDEV(D$2:D459)*SQRT(252)</f>
        <v>0.14484690154006488</v>
      </c>
      <c r="V459" s="186">
        <f>STDEV(L$2:L459)*SQRT(252)</f>
        <v>0.31326813608511911</v>
      </c>
      <c r="W459" s="184">
        <f t="shared" ref="W459" si="1105">N459/V459</f>
        <v>-1.6097300834966379E-2</v>
      </c>
    </row>
    <row r="460" spans="2:23" ht="20.100000000000001" customHeight="1" x14ac:dyDescent="0.25">
      <c r="B460" s="173">
        <v>42955</v>
      </c>
      <c r="C460" s="217">
        <v>2474.92</v>
      </c>
      <c r="D460" s="172">
        <f t="shared" ref="D460" si="1106">(C460-C459)/C459</f>
        <v>-2.4144366381689711E-3</v>
      </c>
      <c r="E460" s="211">
        <f t="shared" ref="E460" si="1107">(C460-$C$2)/$C$2</f>
        <v>0.17716557904149466</v>
      </c>
      <c r="F460" s="221">
        <v>6370.46</v>
      </c>
      <c r="G460" s="172">
        <f t="shared" ref="G460" si="1108">(F460-F459)/F459</f>
        <v>-2.0849748659491803E-3</v>
      </c>
      <c r="H460" s="205">
        <f t="shared" ref="H460" si="1109">(F460-F$2)/F$2</f>
        <v>0.25114598267769117</v>
      </c>
      <c r="I460" s="223">
        <v>347445.16</v>
      </c>
      <c r="J460" s="174">
        <v>350000</v>
      </c>
      <c r="K460" s="174">
        <f t="shared" ref="K460" si="1110">I460-I459-J460+J459</f>
        <v>-789.87000000005355</v>
      </c>
      <c r="L460" s="172">
        <f t="shared" ref="L460" si="1111">K460/I459</f>
        <v>-2.2682094905847167E-3</v>
      </c>
      <c r="M460" s="184">
        <f t="shared" ref="M460" si="1112">I460-J460</f>
        <v>-2554.8400000000256</v>
      </c>
      <c r="N460" s="186">
        <f t="shared" ref="N460" si="1113">M460/J460</f>
        <v>-7.2995428571429304E-3</v>
      </c>
      <c r="O460" s="184" t="b">
        <f t="shared" ref="O460" si="1114">L460&gt;D460</f>
        <v>1</v>
      </c>
      <c r="P460" s="186">
        <f>COUNTIF(O$2:O460, TRUE)/(COUNTIF(O$2:O460,FALSE) + COUNTIF(O$2:O460, TRUE))</f>
        <v>0.47930283224400871</v>
      </c>
      <c r="Q460" s="174">
        <v>282925.45</v>
      </c>
      <c r="R460" s="174">
        <f t="shared" ref="R460" si="1115">I460-Q460</f>
        <v>64519.709999999963</v>
      </c>
      <c r="S460" s="174">
        <v>-41466</v>
      </c>
      <c r="T460" s="174">
        <f t="shared" ref="T460:T461" si="1116">M460-S460</f>
        <v>38911.159999999974</v>
      </c>
      <c r="U460" s="186">
        <f>STDEV(D$2:D460)*SQRT(252)</f>
        <v>0.14470343899895807</v>
      </c>
      <c r="V460" s="186">
        <f>STDEV(L$2:L460)*SQRT(252)</f>
        <v>0.31293135224758201</v>
      </c>
      <c r="W460" s="184">
        <f t="shared" ref="W460" si="1117">N460/V460</f>
        <v>-2.3326339162615284E-2</v>
      </c>
    </row>
    <row r="461" spans="2:23" ht="20.100000000000001" customHeight="1" x14ac:dyDescent="0.25">
      <c r="B461" s="173">
        <v>42956</v>
      </c>
      <c r="C461" s="217">
        <v>2474.02</v>
      </c>
      <c r="D461" s="172">
        <f t="shared" ref="D461" si="1118">(C461-C460)/C460</f>
        <v>-3.6364811791899976E-4</v>
      </c>
      <c r="E461" s="211">
        <f t="shared" ref="E461" si="1119">(C461-$C$2)/$C$2</f>
        <v>0.17673750499419719</v>
      </c>
      <c r="F461" s="221">
        <v>6352.33</v>
      </c>
      <c r="G461" s="172">
        <f t="shared" ref="G461" si="1120">(F461-F460)/F460</f>
        <v>-2.8459483302618821E-3</v>
      </c>
      <c r="H461" s="205">
        <f t="shared" ref="H461" si="1121">(F461-F$2)/F$2</f>
        <v>0.24758528585737577</v>
      </c>
      <c r="I461" s="223">
        <v>344663.89</v>
      </c>
      <c r="J461" s="174">
        <v>350000</v>
      </c>
      <c r="K461" s="174">
        <f t="shared" ref="K461" si="1122">I461-I460-J461+J460</f>
        <v>-2781.2699999999604</v>
      </c>
      <c r="L461" s="172">
        <f t="shared" ref="L461" si="1123">K461/I460</f>
        <v>-8.0049179559731395E-3</v>
      </c>
      <c r="M461" s="184">
        <f t="shared" ref="M461" si="1124">I461-J461</f>
        <v>-5336.109999999986</v>
      </c>
      <c r="N461" s="186">
        <f t="shared" ref="N461" si="1125">M461/J461</f>
        <v>-1.5246028571428531E-2</v>
      </c>
      <c r="O461" s="184" t="b">
        <f t="shared" ref="O461" si="1126">L461&gt;D461</f>
        <v>0</v>
      </c>
      <c r="P461" s="186">
        <f>COUNTIF(O$2:O461, TRUE)/(COUNTIF(O$2:O461,FALSE) + COUNTIF(O$2:O461, TRUE))</f>
        <v>0.47826086956521741</v>
      </c>
      <c r="Q461" s="174">
        <v>285894.18</v>
      </c>
      <c r="R461" s="174">
        <f t="shared" ref="R461" si="1127">I461-Q461</f>
        <v>58769.710000000021</v>
      </c>
      <c r="S461" s="174">
        <v>-43506</v>
      </c>
      <c r="T461" s="174">
        <f t="shared" si="1116"/>
        <v>38169.890000000014</v>
      </c>
      <c r="U461" s="186">
        <f>STDEV(D$2:D461)*SQRT(252)</f>
        <v>0.14454647992700137</v>
      </c>
      <c r="V461" s="186">
        <f>STDEV(L$2:L461)*SQRT(252)</f>
        <v>0.31265113323308852</v>
      </c>
      <c r="W461" s="184">
        <f t="shared" ref="W461" si="1128">N461/V461</f>
        <v>-4.8763708014652456E-2</v>
      </c>
    </row>
    <row r="462" spans="2:23" ht="20.100000000000001" customHeight="1" x14ac:dyDescent="0.25">
      <c r="B462" s="173">
        <v>42957</v>
      </c>
      <c r="C462" s="217">
        <v>2438.21</v>
      </c>
      <c r="D462" s="172">
        <f t="shared" ref="D462" si="1129">(C462-C461)/C461</f>
        <v>-1.4474418153450637E-2</v>
      </c>
      <c r="E462" s="211">
        <f t="shared" ref="E462" si="1130">(C462-$C$2)/$C$2</f>
        <v>0.15970491429006295</v>
      </c>
      <c r="F462" s="221">
        <v>6216.87</v>
      </c>
      <c r="G462" s="172">
        <f t="shared" ref="G462" si="1131">(F462-F461)/F461</f>
        <v>-2.1324458899333005E-2</v>
      </c>
      <c r="H462" s="205">
        <f t="shared" ref="H462" si="1132">(F462-F$2)/F$2</f>
        <v>0.22098120470569754</v>
      </c>
      <c r="I462" s="223">
        <v>338857.2</v>
      </c>
      <c r="J462" s="174">
        <v>350000</v>
      </c>
      <c r="K462" s="174">
        <f t="shared" ref="K462" si="1133">I462-I461-J462+J461</f>
        <v>-5806.6900000000023</v>
      </c>
      <c r="L462" s="172">
        <f t="shared" ref="L462" si="1134">K462/I461</f>
        <v>-1.6847398780301594E-2</v>
      </c>
      <c r="M462" s="184">
        <f t="shared" ref="M462" si="1135">I462-J462</f>
        <v>-11142.799999999988</v>
      </c>
      <c r="N462" s="186">
        <f t="shared" ref="N462" si="1136">M462/J462</f>
        <v>-3.1836571428571395E-2</v>
      </c>
      <c r="O462" s="184" t="b">
        <f t="shared" ref="O462" si="1137">L462&gt;D462</f>
        <v>0</v>
      </c>
      <c r="P462" s="186">
        <f>COUNTIF(O$2:O462, TRUE)/(COUNTIF(O$2:O462,FALSE) + COUNTIF(O$2:O462, TRUE))</f>
        <v>0.47722342733188722</v>
      </c>
      <c r="Q462" s="174">
        <v>288927.49</v>
      </c>
      <c r="R462" s="174">
        <f t="shared" ref="R462" si="1138">I462-Q462</f>
        <v>49929.710000000021</v>
      </c>
      <c r="S462" s="174">
        <v>-45429</v>
      </c>
      <c r="T462" s="174">
        <f t="shared" ref="T462" si="1139">M462-S462</f>
        <v>34286.200000000012</v>
      </c>
      <c r="U462" s="186">
        <f>STDEV(D$2:D462)*SQRT(252)</f>
        <v>0.14480781665948367</v>
      </c>
      <c r="V462" s="186">
        <f>STDEV(L$2:L462)*SQRT(252)</f>
        <v>0.31256971763489261</v>
      </c>
      <c r="W462" s="184">
        <f t="shared" ref="W462" si="1140">N462/V462</f>
        <v>-0.10185430523938072</v>
      </c>
    </row>
    <row r="463" spans="2:23" ht="20.100000000000001" customHeight="1" x14ac:dyDescent="0.25">
      <c r="B463" s="173">
        <v>42962</v>
      </c>
      <c r="C463" s="217">
        <v>2464.61</v>
      </c>
      <c r="D463" s="172">
        <f t="shared" ref="D463" si="1141">(C463-C462)/C462</f>
        <v>1.0827615340762318E-2</v>
      </c>
      <c r="E463" s="211">
        <f t="shared" ref="E463" si="1142">(C463-$C$2)/$C$2</f>
        <v>0.1722617530107875</v>
      </c>
      <c r="F463" s="221">
        <v>6333.01</v>
      </c>
      <c r="G463" s="172">
        <f t="shared" ref="G463" si="1143">(F463-F462)/F462</f>
        <v>1.8681426505621049E-2</v>
      </c>
      <c r="H463" s="205">
        <f t="shared" ref="H463" si="1144">(F463-F$2)/F$2</f>
        <v>0.24379087534615168</v>
      </c>
      <c r="I463" s="223">
        <v>332438.64</v>
      </c>
      <c r="J463" s="174">
        <v>350000</v>
      </c>
      <c r="K463" s="174">
        <f t="shared" ref="K463" si="1145">I463-I462-J463+J462</f>
        <v>-6418.5599999999977</v>
      </c>
      <c r="L463" s="172">
        <f t="shared" ref="L463" si="1146">K463/I462</f>
        <v>-1.8941784326849179E-2</v>
      </c>
      <c r="M463" s="184">
        <f t="shared" ref="M463" si="1147">I463-J463</f>
        <v>-17561.359999999986</v>
      </c>
      <c r="N463" s="186">
        <f t="shared" ref="N463" si="1148">M463/J463</f>
        <v>-5.0175314285714243E-2</v>
      </c>
      <c r="O463" s="184" t="b">
        <f t="shared" ref="O463" si="1149">L463&gt;D463</f>
        <v>0</v>
      </c>
      <c r="P463" s="186">
        <f>COUNTIF(O$2:O463, TRUE)/(COUNTIF(O$2:O463,FALSE) + COUNTIF(O$2:O463, TRUE))</f>
        <v>0.47619047619047616</v>
      </c>
      <c r="Q463" s="174">
        <v>295365.94</v>
      </c>
      <c r="R463" s="174">
        <f t="shared" ref="R463" si="1150">I463-Q463</f>
        <v>37072.700000000012</v>
      </c>
      <c r="S463" s="174"/>
      <c r="T463" s="174"/>
      <c r="U463" s="186">
        <f>STDEV(D$2:D463)*SQRT(252)</f>
        <v>0.14485707775910978</v>
      </c>
      <c r="V463" s="186">
        <f>STDEV(L$2:L463)*SQRT(252)</f>
        <v>0.31255421973327635</v>
      </c>
      <c r="W463" s="184">
        <f t="shared" ref="W463" si="1151">N463/V463</f>
        <v>-0.16053315270717583</v>
      </c>
    </row>
  </sheetData>
  <conditionalFormatting sqref="D3:D46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6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6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6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6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2"/>
      <c r="I2" s="3"/>
      <c r="J2" s="3"/>
      <c r="K2" s="3"/>
      <c r="L2" s="4"/>
      <c r="O2" s="11" t="s">
        <v>57</v>
      </c>
      <c r="Q2">
        <f>C18-H18</f>
        <v>0</v>
      </c>
      <c r="W2" s="131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5">
        <f>AC2/AC3-1</f>
        <v>-1.3856476079346591E-2</v>
      </c>
    </row>
    <row r="3" spans="1:40" x14ac:dyDescent="0.25">
      <c r="A3" s="23" t="s">
        <v>71</v>
      </c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287.92</v>
      </c>
      <c r="W3" s="131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5">
        <f t="shared" ref="AE3:AE66" si="1">AC3/AC4-1</f>
        <v>5.6841101617222112E-3</v>
      </c>
      <c r="AG3" s="1"/>
      <c r="AK3" s="231"/>
      <c r="AN3" s="231"/>
    </row>
    <row r="4" spans="1:40" x14ac:dyDescent="0.25">
      <c r="G4" s="73"/>
      <c r="H4" s="182"/>
      <c r="I4" s="3"/>
      <c r="J4" s="3"/>
      <c r="K4" s="3"/>
      <c r="L4" s="4"/>
      <c r="O4" s="11" t="s">
        <v>66</v>
      </c>
      <c r="Q4" s="55">
        <v>287.92</v>
      </c>
      <c r="R4" s="514">
        <v>6.4999999999999997E-3</v>
      </c>
      <c r="T4" s="1"/>
      <c r="W4" s="131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5">
        <f t="shared" si="1"/>
        <v>-2.6698851583645267E-3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T5" s="1"/>
      <c r="W5" s="131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5">
        <f t="shared" si="1"/>
        <v>1.6204564037761049E-2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5">
        <f t="shared" si="1"/>
        <v>1.9737087103863793E-3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1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5">
        <f t="shared" si="1"/>
        <v>-2.0356791069278901E-2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5">
        <f t="shared" si="1"/>
        <v>-4.0693238382444319E-3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T9" s="155"/>
      <c r="W9" s="131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5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M39</f>
        <v>1659.3600000000079</v>
      </c>
      <c r="W10" s="131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5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5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5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5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5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5">
        <f t="shared" si="1"/>
        <v>-1.028821336392316E-2</v>
      </c>
    </row>
    <row r="16" spans="1:40" x14ac:dyDescent="0.25">
      <c r="G16" s="1"/>
      <c r="W16" s="131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5">
        <f t="shared" si="1"/>
        <v>-4.6746856205576837E-2</v>
      </c>
    </row>
    <row r="17" spans="1:31" x14ac:dyDescent="0.25">
      <c r="G17" s="1"/>
      <c r="W17" s="131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5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5">
        <f t="shared" si="1"/>
        <v>-1.6385048643111633E-3</v>
      </c>
    </row>
    <row r="19" spans="1:31" x14ac:dyDescent="0.25">
      <c r="N19" s="2"/>
      <c r="W19" s="131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5">
        <f t="shared" si="1"/>
        <v>2.4295099917874818E-3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5">
        <f t="shared" si="1"/>
        <v>-2.7980618303419247E-3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5">
        <f t="shared" si="1"/>
        <v>-3.5023292189464428E-3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5">
        <f t="shared" si="1"/>
        <v>1.0271384403984785E-2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5">
        <f t="shared" si="1"/>
        <v>-1.5423121152675412E-2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5">
        <f t="shared" si="1"/>
        <v>-7.3526943092160346E-3</v>
      </c>
    </row>
    <row r="25" spans="1:31" x14ac:dyDescent="0.25">
      <c r="B25" s="190"/>
      <c r="C25" s="10"/>
      <c r="D25" s="40"/>
      <c r="E25" s="40"/>
      <c r="F25" s="40"/>
      <c r="G25" s="40"/>
      <c r="H25" s="229"/>
      <c r="I25" s="229"/>
      <c r="W25" s="131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5">
        <f t="shared" si="1"/>
        <v>1.4510030995606327E-2</v>
      </c>
    </row>
    <row r="26" spans="1:31" x14ac:dyDescent="0.25">
      <c r="B26" s="190"/>
      <c r="C26" s="10"/>
      <c r="D26" s="40"/>
      <c r="E26" s="40"/>
      <c r="F26" s="40"/>
      <c r="G26" s="40"/>
      <c r="H26" s="229"/>
      <c r="I26" s="229"/>
      <c r="W26" s="131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5">
        <f t="shared" si="1"/>
        <v>1.1252813203299628E-3</v>
      </c>
    </row>
    <row r="27" spans="1:31" x14ac:dyDescent="0.25">
      <c r="B27" s="190"/>
      <c r="C27" s="10"/>
      <c r="D27" s="40"/>
      <c r="E27" s="40"/>
      <c r="F27" s="40"/>
      <c r="G27" s="40"/>
      <c r="H27" s="229"/>
      <c r="I27" s="229"/>
      <c r="W27" s="131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5">
        <f t="shared" si="1"/>
        <v>1.6146916146916102E-2</v>
      </c>
    </row>
    <row r="28" spans="1:31" x14ac:dyDescent="0.25">
      <c r="B28" s="190"/>
      <c r="C28" s="10"/>
      <c r="D28" s="40"/>
      <c r="E28" s="40"/>
      <c r="F28" s="40"/>
      <c r="G28" s="40"/>
      <c r="H28" s="229"/>
      <c r="I28" s="229"/>
      <c r="W28" s="131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5">
        <f t="shared" si="1"/>
        <v>-8.6902758217977105E-3</v>
      </c>
    </row>
    <row r="29" spans="1:31" x14ac:dyDescent="0.25">
      <c r="B29" s="190"/>
      <c r="C29" s="10"/>
      <c r="D29" s="40"/>
      <c r="E29" s="40"/>
      <c r="F29" s="40"/>
      <c r="G29" s="40"/>
      <c r="H29" s="229"/>
      <c r="I29" s="229"/>
      <c r="W29" s="131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5">
        <f t="shared" si="1"/>
        <v>2.1043033002489997E-2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5">
        <f t="shared" si="1"/>
        <v>1.3345039508341205E-3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5">
        <f t="shared" si="1"/>
        <v>-1.0012863748565803E-2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5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5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5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29"/>
      <c r="I35" s="229"/>
      <c r="W35" s="131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5">
        <f t="shared" si="1"/>
        <v>-8.5770913067249044E-3</v>
      </c>
    </row>
    <row r="36" spans="1:31" x14ac:dyDescent="0.25">
      <c r="W36" s="131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5">
        <f t="shared" si="1"/>
        <v>2.6302868766220122E-2</v>
      </c>
    </row>
    <row r="37" spans="1:31" x14ac:dyDescent="0.25">
      <c r="W37" s="131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5">
        <f t="shared" si="1"/>
        <v>2.2336954573159762E-2</v>
      </c>
    </row>
    <row r="38" spans="1:31" x14ac:dyDescent="0.25">
      <c r="W38" s="131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5">
        <f t="shared" si="1"/>
        <v>1.5104090842917639E-2</v>
      </c>
    </row>
    <row r="39" spans="1:31" x14ac:dyDescent="0.25">
      <c r="A39" s="258"/>
      <c r="B39" s="258"/>
      <c r="C39" s="258"/>
      <c r="D39" s="259"/>
      <c r="E39" s="259"/>
      <c r="F39" s="259"/>
      <c r="G39" s="258"/>
      <c r="H39" s="258"/>
      <c r="I39" s="258"/>
      <c r="J39" s="258"/>
      <c r="K39" s="260" t="s">
        <v>130</v>
      </c>
      <c r="L39" s="258"/>
      <c r="M39" s="259">
        <f>K57+M57-F57</f>
        <v>1659.3600000000079</v>
      </c>
      <c r="W39" s="131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5">
        <f t="shared" si="1"/>
        <v>1.5973968347877454E-2</v>
      </c>
    </row>
    <row r="40" spans="1:31" x14ac:dyDescent="0.25">
      <c r="A40" s="260" t="s">
        <v>1</v>
      </c>
      <c r="B40" s="260" t="s">
        <v>2</v>
      </c>
      <c r="C40" s="260" t="s">
        <v>4</v>
      </c>
      <c r="D40" s="261" t="s">
        <v>5</v>
      </c>
      <c r="E40" s="261" t="s">
        <v>94</v>
      </c>
      <c r="F40" s="261" t="s">
        <v>60</v>
      </c>
      <c r="G40" s="260" t="s">
        <v>3</v>
      </c>
      <c r="H40" s="260" t="s">
        <v>6</v>
      </c>
      <c r="I40" s="260" t="s">
        <v>7</v>
      </c>
      <c r="J40" s="260" t="s">
        <v>95</v>
      </c>
      <c r="K40" s="261" t="s">
        <v>61</v>
      </c>
      <c r="L40" s="260" t="s">
        <v>77</v>
      </c>
      <c r="M40" s="260" t="s">
        <v>38</v>
      </c>
      <c r="W40" s="131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5">
        <f t="shared" si="1"/>
        <v>6.3258167745776639E-3</v>
      </c>
    </row>
    <row r="41" spans="1:31" x14ac:dyDescent="0.25">
      <c r="A41" s="262" t="s">
        <v>62</v>
      </c>
      <c r="B41" s="263">
        <v>42222</v>
      </c>
      <c r="C41" s="258">
        <v>5</v>
      </c>
      <c r="D41" s="259">
        <v>320</v>
      </c>
      <c r="E41" s="259">
        <v>0</v>
      </c>
      <c r="F41" s="259">
        <f>C41*D41 + E41</f>
        <v>1600</v>
      </c>
      <c r="G41" s="263">
        <v>42257</v>
      </c>
      <c r="H41" s="264">
        <v>5</v>
      </c>
      <c r="I41" s="259">
        <v>303.60000000000002</v>
      </c>
      <c r="J41" s="259">
        <v>0.03</v>
      </c>
      <c r="K41" s="259">
        <f t="shared" ref="K41:K48" si="3">H41*I41-J41</f>
        <v>1517.97</v>
      </c>
      <c r="L41" s="258" t="s">
        <v>80</v>
      </c>
      <c r="M41" s="258"/>
      <c r="W41" s="131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5">
        <f t="shared" si="1"/>
        <v>9.8831310360376623E-3</v>
      </c>
    </row>
    <row r="42" spans="1:31" ht="20.25" thickBot="1" x14ac:dyDescent="0.35">
      <c r="A42" s="265"/>
      <c r="B42" s="263">
        <v>42247</v>
      </c>
      <c r="C42" s="258">
        <v>5</v>
      </c>
      <c r="D42" s="259">
        <v>298.7</v>
      </c>
      <c r="E42" s="259">
        <v>0</v>
      </c>
      <c r="F42" s="259">
        <f>C42*D42 + E42</f>
        <v>1493.5</v>
      </c>
      <c r="G42" s="263">
        <v>42290</v>
      </c>
      <c r="H42" s="264">
        <v>5</v>
      </c>
      <c r="I42" s="259">
        <v>280.2</v>
      </c>
      <c r="J42" s="259">
        <v>0.03</v>
      </c>
      <c r="K42" s="259">
        <f t="shared" si="3"/>
        <v>1400.97</v>
      </c>
      <c r="L42" s="258"/>
      <c r="M42" s="258"/>
      <c r="O42" s="716" t="s">
        <v>78</v>
      </c>
      <c r="P42" s="716"/>
      <c r="T42" s="111" t="s">
        <v>112</v>
      </c>
      <c r="U42" s="4"/>
      <c r="W42" s="131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5">
        <f t="shared" si="1"/>
        <v>4.5298403231286422E-3</v>
      </c>
    </row>
    <row r="43" spans="1:31" ht="15.75" thickTop="1" x14ac:dyDescent="0.25">
      <c r="A43" s="258"/>
      <c r="B43" s="263">
        <v>42271</v>
      </c>
      <c r="C43" s="258">
        <v>10</v>
      </c>
      <c r="D43" s="259">
        <v>297</v>
      </c>
      <c r="E43" s="259">
        <v>0</v>
      </c>
      <c r="F43" s="259">
        <f>C43*D43 + E43</f>
        <v>2970</v>
      </c>
      <c r="G43" s="263">
        <v>42303</v>
      </c>
      <c r="H43" s="264">
        <v>10</v>
      </c>
      <c r="I43" s="259">
        <v>290</v>
      </c>
      <c r="J43" s="259">
        <v>0.05</v>
      </c>
      <c r="K43" s="259">
        <f t="shared" si="3"/>
        <v>2899.95</v>
      </c>
      <c r="L43" s="258"/>
      <c r="M43" s="258"/>
      <c r="O43" s="82">
        <v>1.1000000000000001</v>
      </c>
      <c r="P43" s="82">
        <f>O43*$Q$4</f>
        <v>316.71200000000005</v>
      </c>
      <c r="Q43" s="2"/>
      <c r="T43" s="426" t="s">
        <v>97</v>
      </c>
      <c r="U43" s="492">
        <v>274.24</v>
      </c>
      <c r="W43" s="131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5">
        <f t="shared" si="1"/>
        <v>9.0678958703294121E-4</v>
      </c>
    </row>
    <row r="44" spans="1:31" x14ac:dyDescent="0.25">
      <c r="A44" s="258"/>
      <c r="B44" s="263">
        <v>42285</v>
      </c>
      <c r="C44" s="258">
        <v>15</v>
      </c>
      <c r="D44" s="259">
        <v>283</v>
      </c>
      <c r="E44" s="259">
        <v>0</v>
      </c>
      <c r="F44" s="259">
        <f t="shared" ref="F44:F53" si="4">C44*D44 + E44</f>
        <v>4245</v>
      </c>
      <c r="G44" s="263">
        <v>42307</v>
      </c>
      <c r="H44" s="264">
        <v>10</v>
      </c>
      <c r="I44" s="259">
        <v>289.35000000000002</v>
      </c>
      <c r="J44" s="259">
        <v>7</v>
      </c>
      <c r="K44" s="259">
        <f t="shared" si="3"/>
        <v>2886.5</v>
      </c>
      <c r="L44" s="258"/>
      <c r="M44" s="258"/>
      <c r="O44" s="82">
        <v>1.0900000000000001</v>
      </c>
      <c r="P44" s="82">
        <f t="shared" ref="P44:P63" si="5">O44*$Q$4</f>
        <v>313.83280000000002</v>
      </c>
      <c r="Q44" s="2"/>
      <c r="T44" s="426" t="s">
        <v>98</v>
      </c>
      <c r="U44" s="492">
        <v>274.63</v>
      </c>
      <c r="W44" s="131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5">
        <f t="shared" si="1"/>
        <v>1.665215910381157E-3</v>
      </c>
    </row>
    <row r="45" spans="1:31" x14ac:dyDescent="0.25">
      <c r="A45" s="258"/>
      <c r="B45" s="350">
        <v>42286</v>
      </c>
      <c r="C45" s="258">
        <v>5</v>
      </c>
      <c r="D45" s="259">
        <v>278.5</v>
      </c>
      <c r="E45" s="259">
        <v>0</v>
      </c>
      <c r="F45" s="259">
        <f t="shared" si="4"/>
        <v>1392.5</v>
      </c>
      <c r="G45" s="263">
        <v>42313</v>
      </c>
      <c r="H45" s="264">
        <v>10</v>
      </c>
      <c r="I45" s="259">
        <v>300</v>
      </c>
      <c r="J45" s="259">
        <v>0.06</v>
      </c>
      <c r="K45" s="259">
        <f t="shared" si="3"/>
        <v>2999.94</v>
      </c>
      <c r="L45" s="258"/>
      <c r="M45" s="258"/>
      <c r="O45" s="82">
        <v>1.08</v>
      </c>
      <c r="P45" s="82">
        <f t="shared" si="5"/>
        <v>310.95360000000005</v>
      </c>
      <c r="Q45" s="2"/>
      <c r="T45" s="426" t="s">
        <v>99</v>
      </c>
      <c r="U45" s="492" t="s">
        <v>607</v>
      </c>
      <c r="W45" s="131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5">
        <f t="shared" si="1"/>
        <v>-6.1983030991515475E-2</v>
      </c>
    </row>
    <row r="46" spans="1:31" x14ac:dyDescent="0.25">
      <c r="A46" s="258"/>
      <c r="B46" s="350"/>
      <c r="C46" s="258">
        <v>5</v>
      </c>
      <c r="D46" s="259">
        <v>278.5</v>
      </c>
      <c r="E46" s="259">
        <v>0</v>
      </c>
      <c r="F46" s="259">
        <f t="shared" si="4"/>
        <v>1392.5</v>
      </c>
      <c r="G46" s="263">
        <v>42331</v>
      </c>
      <c r="H46" s="264">
        <v>40</v>
      </c>
      <c r="I46" s="259">
        <v>287.99</v>
      </c>
      <c r="J46" s="259">
        <v>0.21</v>
      </c>
      <c r="K46" s="259">
        <f t="shared" si="3"/>
        <v>11519.390000000001</v>
      </c>
      <c r="L46" s="258"/>
      <c r="M46" s="258"/>
      <c r="O46" s="82">
        <v>1.07</v>
      </c>
      <c r="P46" s="82">
        <f t="shared" si="5"/>
        <v>308.07440000000003</v>
      </c>
      <c r="Q46" s="2"/>
      <c r="T46" s="426" t="s">
        <v>100</v>
      </c>
      <c r="U46" s="492" t="s">
        <v>608</v>
      </c>
      <c r="W46" s="131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5">
        <f t="shared" si="1"/>
        <v>1.6051074880969463E-2</v>
      </c>
    </row>
    <row r="47" spans="1:31" x14ac:dyDescent="0.25">
      <c r="A47" s="258"/>
      <c r="B47" s="263">
        <v>42286</v>
      </c>
      <c r="C47" s="258">
        <v>10</v>
      </c>
      <c r="D47" s="259">
        <v>274</v>
      </c>
      <c r="E47" s="259">
        <v>0</v>
      </c>
      <c r="F47" s="259">
        <f t="shared" si="4"/>
        <v>2740</v>
      </c>
      <c r="G47" s="263">
        <v>42347</v>
      </c>
      <c r="H47" s="264">
        <v>35</v>
      </c>
      <c r="I47" s="259">
        <v>282.99</v>
      </c>
      <c r="J47" s="259">
        <v>0.18</v>
      </c>
      <c r="K47" s="259">
        <f t="shared" si="3"/>
        <v>9904.4699999999993</v>
      </c>
      <c r="L47" s="258"/>
      <c r="M47" s="258"/>
      <c r="O47" s="82">
        <v>1.06</v>
      </c>
      <c r="P47" s="82">
        <f t="shared" si="5"/>
        <v>305.19520000000006</v>
      </c>
      <c r="Q47" s="2"/>
      <c r="T47" s="426" t="s">
        <v>101</v>
      </c>
      <c r="U47" s="492">
        <v>316.02999999999997</v>
      </c>
      <c r="W47" s="131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5">
        <f t="shared" si="1"/>
        <v>4.2744330942547926E-3</v>
      </c>
    </row>
    <row r="48" spans="1:31" x14ac:dyDescent="0.25">
      <c r="A48" s="258"/>
      <c r="B48" s="263">
        <v>42286</v>
      </c>
      <c r="C48" s="258">
        <v>10</v>
      </c>
      <c r="D48" s="259">
        <v>269.8</v>
      </c>
      <c r="E48" s="259">
        <v>0</v>
      </c>
      <c r="F48" s="259">
        <f t="shared" si="4"/>
        <v>2698</v>
      </c>
      <c r="G48" s="263">
        <v>42359</v>
      </c>
      <c r="H48" s="264">
        <v>25</v>
      </c>
      <c r="I48" s="259">
        <v>295</v>
      </c>
      <c r="J48" s="259">
        <v>0.14000000000000001</v>
      </c>
      <c r="K48" s="259">
        <f t="shared" si="3"/>
        <v>7374.86</v>
      </c>
      <c r="L48" s="258"/>
      <c r="M48" s="258"/>
      <c r="O48" s="82">
        <v>1.05</v>
      </c>
      <c r="P48" s="82">
        <f t="shared" si="5"/>
        <v>302.31600000000003</v>
      </c>
      <c r="Q48" s="2"/>
      <c r="T48" s="426" t="s">
        <v>102</v>
      </c>
      <c r="U48" s="492">
        <v>0.50315299999999996</v>
      </c>
      <c r="W48" s="131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5">
        <f t="shared" si="1"/>
        <v>-7.7279752704790816E-3</v>
      </c>
    </row>
    <row r="49" spans="1:31" x14ac:dyDescent="0.25">
      <c r="A49" s="258"/>
      <c r="B49" s="263">
        <v>42292</v>
      </c>
      <c r="C49" s="258">
        <v>25</v>
      </c>
      <c r="D49" s="259">
        <v>268.5</v>
      </c>
      <c r="E49" s="259">
        <v>0</v>
      </c>
      <c r="F49" s="259">
        <f t="shared" si="4"/>
        <v>6712.5</v>
      </c>
      <c r="G49" s="263">
        <v>42447</v>
      </c>
      <c r="H49" s="264">
        <v>5</v>
      </c>
      <c r="I49" s="259">
        <v>249.59</v>
      </c>
      <c r="J49" s="259">
        <v>0.03</v>
      </c>
      <c r="K49" s="259">
        <v>1247.92</v>
      </c>
      <c r="L49" s="258"/>
      <c r="M49" s="258"/>
      <c r="O49" s="82">
        <v>1.04</v>
      </c>
      <c r="P49" s="82">
        <f t="shared" si="5"/>
        <v>299.43680000000001</v>
      </c>
      <c r="Q49" s="2"/>
      <c r="T49" s="426" t="s">
        <v>103</v>
      </c>
      <c r="U49" s="492" t="s">
        <v>558</v>
      </c>
      <c r="W49" s="131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5">
        <f t="shared" si="1"/>
        <v>-2.4382372978594136E-3</v>
      </c>
    </row>
    <row r="50" spans="1:31" x14ac:dyDescent="0.25">
      <c r="A50" s="258"/>
      <c r="B50" s="263">
        <v>42293</v>
      </c>
      <c r="C50" s="258">
        <v>10</v>
      </c>
      <c r="D50" s="259">
        <v>262.25</v>
      </c>
      <c r="E50" s="259">
        <v>0</v>
      </c>
      <c r="F50" s="259">
        <f t="shared" si="4"/>
        <v>2622.5</v>
      </c>
      <c r="G50" s="263">
        <v>42460</v>
      </c>
      <c r="H50" s="264">
        <v>5</v>
      </c>
      <c r="I50" s="259">
        <v>261.22000000000003</v>
      </c>
      <c r="J50" s="259">
        <v>0.03</v>
      </c>
      <c r="K50" s="259">
        <v>1306.0700000000002</v>
      </c>
      <c r="L50" s="258"/>
      <c r="M50" s="258"/>
      <c r="O50" s="82">
        <v>1.03</v>
      </c>
      <c r="P50" s="82">
        <f t="shared" si="5"/>
        <v>296.55760000000004</v>
      </c>
      <c r="Q50" s="2"/>
      <c r="T50" s="426"/>
      <c r="U50" s="492"/>
      <c r="W50" s="131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5">
        <f t="shared" si="1"/>
        <v>2.0677792416922802E-2</v>
      </c>
    </row>
    <row r="51" spans="1:31" x14ac:dyDescent="0.25">
      <c r="A51" s="258"/>
      <c r="B51" s="263">
        <v>42293</v>
      </c>
      <c r="C51" s="258">
        <v>10</v>
      </c>
      <c r="D51" s="259">
        <v>255.4</v>
      </c>
      <c r="E51" s="259">
        <v>0</v>
      </c>
      <c r="F51" s="259">
        <f t="shared" si="4"/>
        <v>2554</v>
      </c>
      <c r="G51" s="263">
        <v>42482</v>
      </c>
      <c r="H51" s="264">
        <v>5</v>
      </c>
      <c r="I51" s="259">
        <v>282.95</v>
      </c>
      <c r="J51" s="259">
        <v>0.03</v>
      </c>
      <c r="K51" s="259">
        <v>1414.72</v>
      </c>
      <c r="L51" s="258"/>
      <c r="M51" s="258"/>
      <c r="O51" s="82">
        <v>1.02</v>
      </c>
      <c r="P51" s="82">
        <f t="shared" si="5"/>
        <v>293.67840000000001</v>
      </c>
      <c r="Q51" s="2"/>
      <c r="T51" s="426" t="s">
        <v>104</v>
      </c>
      <c r="U51" s="492" t="s">
        <v>609</v>
      </c>
      <c r="W51" s="131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5">
        <f t="shared" si="1"/>
        <v>-2.1181798261631357E-3</v>
      </c>
    </row>
    <row r="52" spans="1:31" x14ac:dyDescent="0.25">
      <c r="A52" s="258"/>
      <c r="B52" s="263">
        <v>42314</v>
      </c>
      <c r="C52" s="258">
        <v>10</v>
      </c>
      <c r="D52" s="259">
        <v>298.81</v>
      </c>
      <c r="E52" s="259">
        <v>0</v>
      </c>
      <c r="F52" s="259">
        <f t="shared" si="4"/>
        <v>2988.1</v>
      </c>
      <c r="G52" s="263"/>
      <c r="H52" s="258"/>
      <c r="I52" s="259"/>
      <c r="J52" s="258"/>
      <c r="K52" s="259"/>
      <c r="L52" s="258"/>
      <c r="M52" s="258"/>
      <c r="O52" s="82">
        <v>1.01</v>
      </c>
      <c r="P52" s="82">
        <f t="shared" si="5"/>
        <v>290.79920000000004</v>
      </c>
      <c r="Q52" s="2"/>
      <c r="T52" s="426" t="s">
        <v>105</v>
      </c>
      <c r="U52" s="492" t="s">
        <v>260</v>
      </c>
      <c r="W52" s="131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5">
        <f t="shared" si="1"/>
        <v>-7.9704369248604356E-3</v>
      </c>
    </row>
    <row r="53" spans="1:31" x14ac:dyDescent="0.25">
      <c r="A53" s="258"/>
      <c r="B53" s="263">
        <v>42341</v>
      </c>
      <c r="C53" s="258">
        <v>20</v>
      </c>
      <c r="D53" s="259">
        <v>286.08999999999997</v>
      </c>
      <c r="E53" s="259">
        <v>0</v>
      </c>
      <c r="F53" s="259">
        <f t="shared" si="4"/>
        <v>5721.7999999999993</v>
      </c>
      <c r="G53" s="263"/>
      <c r="H53" s="258"/>
      <c r="I53" s="258"/>
      <c r="J53" s="258"/>
      <c r="K53" s="259"/>
      <c r="L53" s="258"/>
      <c r="M53" s="258"/>
      <c r="O53" s="82">
        <v>1</v>
      </c>
      <c r="P53" s="82">
        <f t="shared" si="5"/>
        <v>287.92</v>
      </c>
      <c r="Q53" s="2"/>
      <c r="T53" s="426" t="s">
        <v>106</v>
      </c>
      <c r="U53" s="493">
        <v>1340182</v>
      </c>
      <c r="W53" s="131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5">
        <f t="shared" si="1"/>
        <v>-1.6532459203306593E-2</v>
      </c>
    </row>
    <row r="54" spans="1:31" x14ac:dyDescent="0.25">
      <c r="A54" s="258"/>
      <c r="B54" s="263">
        <v>42408</v>
      </c>
      <c r="C54" s="258">
        <v>5</v>
      </c>
      <c r="D54" s="259">
        <v>251.5</v>
      </c>
      <c r="E54" s="259">
        <v>0</v>
      </c>
      <c r="F54" s="259">
        <f>C54*D54 + E54</f>
        <v>1257.5</v>
      </c>
      <c r="G54" s="263"/>
      <c r="H54" s="258"/>
      <c r="I54" s="258"/>
      <c r="J54" s="258"/>
      <c r="K54" s="259"/>
      <c r="L54" s="258"/>
      <c r="M54" s="258"/>
      <c r="O54" s="82">
        <v>0.99</v>
      </c>
      <c r="P54" s="82">
        <f t="shared" si="5"/>
        <v>285.04079999999999</v>
      </c>
      <c r="Q54" s="2"/>
      <c r="T54" s="426" t="s">
        <v>109</v>
      </c>
      <c r="U54" s="493">
        <v>1707790</v>
      </c>
      <c r="W54" s="131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5">
        <f t="shared" si="1"/>
        <v>1.1057606563225075E-3</v>
      </c>
    </row>
    <row r="55" spans="1:31" x14ac:dyDescent="0.25">
      <c r="A55" s="258"/>
      <c r="B55" s="263">
        <v>42446</v>
      </c>
      <c r="C55" s="258">
        <v>5</v>
      </c>
      <c r="D55" s="259">
        <v>242.55</v>
      </c>
      <c r="E55" s="259">
        <v>0</v>
      </c>
      <c r="F55" s="259">
        <f>C55*D55 + E55</f>
        <v>1212.75</v>
      </c>
      <c r="G55" s="263"/>
      <c r="H55" s="258"/>
      <c r="I55" s="258"/>
      <c r="J55" s="258"/>
      <c r="K55" s="259"/>
      <c r="L55" s="258"/>
      <c r="M55" s="258"/>
      <c r="O55" s="82">
        <v>0.98</v>
      </c>
      <c r="P55" s="82">
        <f t="shared" si="5"/>
        <v>282.16160000000002</v>
      </c>
      <c r="Q55" s="2"/>
      <c r="T55" s="426" t="s">
        <v>107</v>
      </c>
      <c r="U55" s="492" t="s">
        <v>610</v>
      </c>
      <c r="W55" s="131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5">
        <f t="shared" si="1"/>
        <v>-1.1494658157328641E-2</v>
      </c>
    </row>
    <row r="56" spans="1:31" x14ac:dyDescent="0.25">
      <c r="A56" s="258"/>
      <c r="B56" s="263"/>
      <c r="C56" s="258">
        <v>5</v>
      </c>
      <c r="D56" s="259">
        <v>242.55</v>
      </c>
      <c r="E56" s="259">
        <v>0</v>
      </c>
      <c r="F56" s="259">
        <f>C56*D56 + E56</f>
        <v>1212.75</v>
      </c>
      <c r="G56" s="263"/>
      <c r="H56" s="258"/>
      <c r="I56" s="258"/>
      <c r="J56" s="258"/>
      <c r="K56" s="259"/>
      <c r="L56" s="258"/>
      <c r="M56" s="258"/>
      <c r="O56" s="82">
        <v>0.97</v>
      </c>
      <c r="P56" s="82">
        <f t="shared" si="5"/>
        <v>279.2824</v>
      </c>
      <c r="T56" s="426" t="s">
        <v>110</v>
      </c>
      <c r="U56" s="492">
        <v>15.97</v>
      </c>
      <c r="W56" s="131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5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276.40320000000003</v>
      </c>
      <c r="T57" s="426" t="s">
        <v>111</v>
      </c>
      <c r="U57" s="492">
        <v>16.93</v>
      </c>
      <c r="W57" s="131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5">
        <f t="shared" si="1"/>
        <v>-6.1106233538191779E-3</v>
      </c>
    </row>
    <row r="58" spans="1:31" x14ac:dyDescent="0.25">
      <c r="O58" s="82">
        <v>0.95</v>
      </c>
      <c r="P58" s="82">
        <f t="shared" si="5"/>
        <v>273.524</v>
      </c>
      <c r="T58" s="426" t="s">
        <v>108</v>
      </c>
      <c r="U58" s="492" t="s">
        <v>122</v>
      </c>
      <c r="W58" s="131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5">
        <f t="shared" si="1"/>
        <v>-1.0494492129130895E-2</v>
      </c>
    </row>
    <row r="59" spans="1:31" x14ac:dyDescent="0.25">
      <c r="O59" s="82">
        <v>0.94</v>
      </c>
      <c r="P59" s="82">
        <f t="shared" si="5"/>
        <v>270.64479999999998</v>
      </c>
      <c r="W59" s="131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5">
        <f t="shared" si="1"/>
        <v>2.2987705060777408E-3</v>
      </c>
    </row>
    <row r="60" spans="1:31" x14ac:dyDescent="0.25">
      <c r="B60" s="266" t="s">
        <v>113</v>
      </c>
      <c r="C60" s="266" t="s">
        <v>146</v>
      </c>
      <c r="D60" s="267" t="s">
        <v>145</v>
      </c>
      <c r="E60" s="268" t="s">
        <v>147</v>
      </c>
      <c r="F60" s="269" t="s">
        <v>65</v>
      </c>
      <c r="G60" s="270" t="s">
        <v>151</v>
      </c>
      <c r="H60" s="269" t="s">
        <v>88</v>
      </c>
      <c r="O60" s="82">
        <v>0.93</v>
      </c>
      <c r="P60" s="82">
        <f t="shared" si="5"/>
        <v>267.76560000000001</v>
      </c>
      <c r="W60" s="131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5">
        <f t="shared" si="1"/>
        <v>-3.5864199603747648E-2</v>
      </c>
    </row>
    <row r="61" spans="1:31" x14ac:dyDescent="0.25">
      <c r="B61" s="263">
        <v>42304</v>
      </c>
      <c r="C61" s="258">
        <v>80</v>
      </c>
      <c r="D61" s="259">
        <v>271.44</v>
      </c>
      <c r="E61" s="259">
        <v>293.69</v>
      </c>
      <c r="F61" s="259">
        <v>1780.09</v>
      </c>
      <c r="G61" s="259">
        <f t="shared" ref="G61:G66" si="6">IF(C61=0, 0,D61*C61)</f>
        <v>21715.200000000001</v>
      </c>
      <c r="H61" s="271">
        <f t="shared" ref="H61:H66" si="7">IF(C61=0, D61, (E61-D61)/D61)</f>
        <v>8.1970232832301801E-2</v>
      </c>
      <c r="O61" s="82">
        <v>0.92</v>
      </c>
      <c r="P61" s="82">
        <f t="shared" si="5"/>
        <v>264.88640000000004</v>
      </c>
      <c r="W61" s="131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5">
        <f t="shared" si="1"/>
        <v>-4.1134372282789489E-3</v>
      </c>
    </row>
    <row r="62" spans="1:31" x14ac:dyDescent="0.25">
      <c r="B62" s="263">
        <v>42310</v>
      </c>
      <c r="C62" s="258">
        <v>70</v>
      </c>
      <c r="D62" s="259">
        <v>267.36</v>
      </c>
      <c r="E62" s="259">
        <v>303.08</v>
      </c>
      <c r="F62" s="259">
        <v>2500.4299999999998</v>
      </c>
      <c r="G62" s="259">
        <f t="shared" si="6"/>
        <v>18715.2</v>
      </c>
      <c r="H62" s="271">
        <f t="shared" si="7"/>
        <v>0.1336026331538</v>
      </c>
      <c r="O62" s="82">
        <v>0.91</v>
      </c>
      <c r="P62" s="82">
        <f t="shared" si="5"/>
        <v>262.00720000000001</v>
      </c>
      <c r="W62" s="131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5">
        <f t="shared" si="1"/>
        <v>1.3627118644067737E-2</v>
      </c>
    </row>
    <row r="63" spans="1:31" x14ac:dyDescent="0.25">
      <c r="B63" s="263">
        <v>42314</v>
      </c>
      <c r="C63" s="258">
        <v>80</v>
      </c>
      <c r="D63" s="259">
        <v>271.29000000000002</v>
      </c>
      <c r="E63" s="259">
        <v>299.14</v>
      </c>
      <c r="F63" s="259">
        <v>2227.9299999999998</v>
      </c>
      <c r="G63" s="259">
        <f t="shared" si="6"/>
        <v>21703.200000000001</v>
      </c>
      <c r="H63" s="271">
        <f t="shared" si="7"/>
        <v>0.10265767260127526</v>
      </c>
      <c r="O63" s="82">
        <v>0.9</v>
      </c>
      <c r="P63" s="82">
        <f t="shared" si="5"/>
        <v>259.12800000000004</v>
      </c>
      <c r="W63" s="131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5">
        <f t="shared" si="1"/>
        <v>4.8710699322138673E-3</v>
      </c>
    </row>
    <row r="64" spans="1:31" x14ac:dyDescent="0.25">
      <c r="B64" s="263">
        <v>42326</v>
      </c>
      <c r="C64" s="258">
        <v>40</v>
      </c>
      <c r="D64" s="259">
        <v>254.6</v>
      </c>
      <c r="E64" s="259">
        <v>291.98</v>
      </c>
      <c r="F64" s="259">
        <v>1495.32</v>
      </c>
      <c r="G64" s="259">
        <f t="shared" si="6"/>
        <v>10184</v>
      </c>
      <c r="H64" s="271">
        <f t="shared" si="7"/>
        <v>0.14681853888452484</v>
      </c>
      <c r="W64" s="131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5">
        <f t="shared" si="1"/>
        <v>-1.6323754463527518E-3</v>
      </c>
    </row>
    <row r="65" spans="2:31" x14ac:dyDescent="0.25">
      <c r="B65" s="263">
        <v>42338</v>
      </c>
      <c r="C65" s="258">
        <v>60</v>
      </c>
      <c r="D65" s="259">
        <v>265.08999999999997</v>
      </c>
      <c r="E65" s="259">
        <v>286.86</v>
      </c>
      <c r="F65" s="259">
        <v>1305.92</v>
      </c>
      <c r="G65" s="259">
        <f t="shared" si="6"/>
        <v>15905.399999999998</v>
      </c>
      <c r="H65" s="271">
        <f t="shared" si="7"/>
        <v>8.2123052548191328E-2</v>
      </c>
      <c r="W65" s="131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5">
        <f t="shared" si="1"/>
        <v>8.0216653525762016E-3</v>
      </c>
    </row>
    <row r="66" spans="2:31" x14ac:dyDescent="0.25">
      <c r="B66" s="263">
        <v>42342</v>
      </c>
      <c r="C66" s="258">
        <v>25</v>
      </c>
      <c r="D66" s="259">
        <v>240.05</v>
      </c>
      <c r="E66" s="259">
        <v>284.45</v>
      </c>
      <c r="F66" s="259">
        <v>1110</v>
      </c>
      <c r="G66" s="259">
        <f t="shared" si="6"/>
        <v>6001.25</v>
      </c>
      <c r="H66" s="271">
        <f t="shared" si="7"/>
        <v>0.18496146636117466</v>
      </c>
      <c r="W66" s="131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5">
        <f t="shared" si="1"/>
        <v>2.8669158614852863E-2</v>
      </c>
    </row>
    <row r="67" spans="2:31" x14ac:dyDescent="0.25">
      <c r="B67" s="263">
        <v>42355</v>
      </c>
      <c r="C67" s="258">
        <v>0</v>
      </c>
      <c r="D67" s="259">
        <v>0</v>
      </c>
      <c r="E67" s="259">
        <v>297.17</v>
      </c>
      <c r="F67" s="259">
        <v>1373.65</v>
      </c>
      <c r="G67" s="259"/>
      <c r="H67" s="271"/>
      <c r="W67" s="131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B69" s="375">
        <v>42408</v>
      </c>
      <c r="C69" s="376">
        <v>5</v>
      </c>
      <c r="D69" s="377">
        <v>251.5</v>
      </c>
      <c r="E69" s="377">
        <v>256.52</v>
      </c>
      <c r="F69" s="377">
        <f>C69*(E69-D69)</f>
        <v>25.099999999999909</v>
      </c>
      <c r="G69" s="377">
        <f>D69*C69</f>
        <v>1257.5</v>
      </c>
      <c r="H69" s="378">
        <f>(E69-D69)/D69</f>
        <v>1.9960238568588397E-2</v>
      </c>
      <c r="I69" s="378"/>
    </row>
    <row r="70" spans="2:31" x14ac:dyDescent="0.25">
      <c r="B70" s="375">
        <v>42422</v>
      </c>
      <c r="C70" s="376">
        <v>5</v>
      </c>
      <c r="D70" s="377">
        <v>251.5</v>
      </c>
      <c r="E70" s="377">
        <v>265.83</v>
      </c>
      <c r="F70" s="377">
        <f t="shared" ref="F70:F79" si="8">C70*(E70-D70)</f>
        <v>71.64999999999992</v>
      </c>
      <c r="G70" s="377">
        <f t="shared" ref="G70:G80" si="9">D70*C70</f>
        <v>1257.5</v>
      </c>
      <c r="H70" s="378">
        <f t="shared" ref="H70:H79" si="10">(E70-D70)/D70</f>
        <v>5.6978131212723597E-2</v>
      </c>
      <c r="I70" s="378"/>
    </row>
    <row r="71" spans="2:31" x14ac:dyDescent="0.25">
      <c r="B71" s="375">
        <v>42431</v>
      </c>
      <c r="C71" s="376">
        <v>5</v>
      </c>
      <c r="D71" s="377">
        <v>251.5</v>
      </c>
      <c r="E71" s="377">
        <v>273.66000000000003</v>
      </c>
      <c r="F71" s="377">
        <f t="shared" si="8"/>
        <v>110.80000000000013</v>
      </c>
      <c r="G71" s="377">
        <f t="shared" si="9"/>
        <v>1257.5</v>
      </c>
      <c r="H71" s="378">
        <f t="shared" si="10"/>
        <v>8.8111332007952389E-2</v>
      </c>
      <c r="I71" s="378"/>
    </row>
    <row r="72" spans="2:31" x14ac:dyDescent="0.25">
      <c r="B72" s="375">
        <v>42433</v>
      </c>
      <c r="C72" s="376">
        <v>5</v>
      </c>
      <c r="D72" s="377">
        <v>251.5</v>
      </c>
      <c r="E72" s="377">
        <v>263.94</v>
      </c>
      <c r="F72" s="377">
        <f t="shared" si="8"/>
        <v>62.199999999999989</v>
      </c>
      <c r="G72" s="377">
        <f t="shared" si="9"/>
        <v>1257.5</v>
      </c>
      <c r="H72" s="378">
        <f t="shared" si="10"/>
        <v>4.9463220675944324E-2</v>
      </c>
      <c r="I72" s="378"/>
    </row>
    <row r="73" spans="2:31" x14ac:dyDescent="0.25">
      <c r="B73" s="375">
        <v>42439</v>
      </c>
      <c r="C73" s="376">
        <v>5</v>
      </c>
      <c r="D73" s="377">
        <v>251.5</v>
      </c>
      <c r="E73" s="377">
        <v>251.97</v>
      </c>
      <c r="F73" s="377">
        <f t="shared" si="8"/>
        <v>2.3499999999999943</v>
      </c>
      <c r="G73" s="377">
        <f t="shared" si="9"/>
        <v>1257.5</v>
      </c>
      <c r="H73" s="379">
        <f t="shared" si="10"/>
        <v>1.8687872763419437E-3</v>
      </c>
      <c r="I73" s="379"/>
    </row>
    <row r="74" spans="2:31" x14ac:dyDescent="0.25">
      <c r="B74" s="375">
        <v>42444</v>
      </c>
      <c r="C74" s="376">
        <v>5</v>
      </c>
      <c r="D74" s="377">
        <v>251.5</v>
      </c>
      <c r="E74" s="377">
        <v>250.33</v>
      </c>
      <c r="F74" s="377">
        <f t="shared" si="8"/>
        <v>-5.8499999999999375</v>
      </c>
      <c r="G74" s="377">
        <f t="shared" si="9"/>
        <v>1257.5</v>
      </c>
      <c r="H74" s="379">
        <f t="shared" si="10"/>
        <v>-4.6520874751490556E-3</v>
      </c>
      <c r="I74" s="379"/>
    </row>
    <row r="75" spans="2:31" x14ac:dyDescent="0.25">
      <c r="B75" s="375">
        <v>42446</v>
      </c>
      <c r="C75" s="376">
        <v>15</v>
      </c>
      <c r="D75" s="377">
        <v>245.5333</v>
      </c>
      <c r="E75" s="377">
        <v>246.31</v>
      </c>
      <c r="F75" s="377">
        <f t="shared" si="8"/>
        <v>11.650500000000079</v>
      </c>
      <c r="G75" s="377">
        <f t="shared" si="9"/>
        <v>3682.9994999999999</v>
      </c>
      <c r="H75" s="379">
        <f t="shared" si="10"/>
        <v>3.1633183767741701E-3</v>
      </c>
      <c r="I75" s="379"/>
    </row>
    <row r="76" spans="2:31" x14ac:dyDescent="0.25">
      <c r="B76" s="375">
        <v>42447</v>
      </c>
      <c r="C76" s="376">
        <v>10</v>
      </c>
      <c r="D76" s="377">
        <v>243.50800000000001</v>
      </c>
      <c r="E76" s="377">
        <v>250.78</v>
      </c>
      <c r="F76" s="377">
        <f t="shared" si="8"/>
        <v>72.719999999999914</v>
      </c>
      <c r="G76" s="377">
        <f t="shared" si="9"/>
        <v>2435.08</v>
      </c>
      <c r="H76" s="379">
        <f t="shared" si="10"/>
        <v>2.9863495244509385E-2</v>
      </c>
      <c r="I76" s="379" t="s">
        <v>191</v>
      </c>
    </row>
    <row r="77" spans="2:31" x14ac:dyDescent="0.25">
      <c r="B77" s="375">
        <v>42458</v>
      </c>
      <c r="C77" s="376">
        <v>10</v>
      </c>
      <c r="D77" s="377">
        <v>243.50800000000001</v>
      </c>
      <c r="E77" s="377">
        <v>254.68</v>
      </c>
      <c r="F77" s="377">
        <f t="shared" si="8"/>
        <v>111.71999999999997</v>
      </c>
      <c r="G77" s="377">
        <f t="shared" si="9"/>
        <v>2435.08</v>
      </c>
      <c r="H77" s="379">
        <f t="shared" si="10"/>
        <v>4.587939615946908E-2</v>
      </c>
      <c r="I77" s="379"/>
    </row>
    <row r="78" spans="2:31" x14ac:dyDescent="0.25">
      <c r="B78" s="375">
        <v>42460</v>
      </c>
      <c r="C78" s="376">
        <v>5</v>
      </c>
      <c r="D78" s="377">
        <v>225.80199999999999</v>
      </c>
      <c r="E78" s="377">
        <v>260.32</v>
      </c>
      <c r="F78" s="377">
        <f t="shared" si="8"/>
        <v>172.59</v>
      </c>
      <c r="G78" s="377">
        <f t="shared" si="9"/>
        <v>1129.01</v>
      </c>
      <c r="H78" s="379">
        <f t="shared" si="10"/>
        <v>0.15286844226357607</v>
      </c>
      <c r="I78" s="379"/>
    </row>
    <row r="79" spans="2:31" x14ac:dyDescent="0.25">
      <c r="B79" s="375">
        <v>42469</v>
      </c>
      <c r="C79" s="376">
        <v>5</v>
      </c>
      <c r="D79" s="377">
        <v>225.80199999999999</v>
      </c>
      <c r="E79" s="377">
        <v>270.83</v>
      </c>
      <c r="F79" s="377">
        <f t="shared" si="8"/>
        <v>225.13999999999996</v>
      </c>
      <c r="G79" s="377">
        <f t="shared" si="9"/>
        <v>1129.01</v>
      </c>
      <c r="H79" s="379">
        <f t="shared" si="10"/>
        <v>0.1994136455832986</v>
      </c>
      <c r="I79" s="379"/>
    </row>
    <row r="80" spans="2:31" x14ac:dyDescent="0.25">
      <c r="B80" s="375">
        <v>42482</v>
      </c>
      <c r="C80" s="376">
        <v>0</v>
      </c>
      <c r="D80" s="377">
        <v>0</v>
      </c>
      <c r="E80" s="377">
        <v>0</v>
      </c>
      <c r="F80" s="377">
        <v>285.70999999999998</v>
      </c>
      <c r="G80" s="377">
        <f t="shared" si="9"/>
        <v>0</v>
      </c>
      <c r="H80" s="379"/>
      <c r="I80" s="379"/>
    </row>
    <row r="81" spans="2:9" x14ac:dyDescent="0.25">
      <c r="B81" s="376"/>
      <c r="C81" s="376"/>
      <c r="D81" s="377"/>
      <c r="E81" s="377"/>
      <c r="F81" s="377"/>
      <c r="G81" s="377"/>
      <c r="H81" s="379"/>
      <c r="I81" s="379"/>
    </row>
    <row r="82" spans="2:9" x14ac:dyDescent="0.25">
      <c r="B82" s="376"/>
      <c r="C82" s="376"/>
      <c r="D82" s="377"/>
      <c r="E82" s="377"/>
      <c r="F82" s="377"/>
      <c r="G82" s="377"/>
      <c r="H82" s="379"/>
      <c r="I82" s="379"/>
    </row>
  </sheetData>
  <mergeCells count="1">
    <mergeCell ref="O42:P42"/>
  </mergeCells>
  <conditionalFormatting sqref="N19 F25:F35">
    <cfRule type="expression" dxfId="1455" priority="58">
      <formula>F19&gt;0</formula>
    </cfRule>
    <cfRule type="expression" dxfId="145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453" priority="47">
      <formula>H25&gt;0</formula>
    </cfRule>
    <cfRule type="expression" dxfId="1452" priority="48">
      <formula>H25&lt;0</formula>
    </cfRule>
  </conditionalFormatting>
  <conditionalFormatting sqref="M39">
    <cfRule type="expression" dxfId="1451" priority="45">
      <formula>M39&gt;0</formula>
    </cfRule>
    <cfRule type="expression" dxfId="1450" priority="46">
      <formula>M39&lt;0</formula>
    </cfRule>
  </conditionalFormatting>
  <conditionalFormatting sqref="F61:F67">
    <cfRule type="expression" dxfId="1449" priority="43">
      <formula>F61&gt;0</formula>
    </cfRule>
    <cfRule type="expression" dxfId="1448" priority="44">
      <formula>F61&lt;0</formula>
    </cfRule>
  </conditionalFormatting>
  <conditionalFormatting sqref="H61:H67">
    <cfRule type="expression" dxfId="1447" priority="41">
      <formula>H61&gt;0</formula>
    </cfRule>
    <cfRule type="expression" dxfId="1446" priority="42">
      <formula>H61&lt;0</formula>
    </cfRule>
  </conditionalFormatting>
  <conditionalFormatting sqref="F21:F24">
    <cfRule type="expression" dxfId="1445" priority="39">
      <formula>F21&gt;0</formula>
    </cfRule>
    <cfRule type="expression" dxfId="1444" priority="40">
      <formula>F21&lt;0</formula>
    </cfRule>
  </conditionalFormatting>
  <conditionalFormatting sqref="H21:H24">
    <cfRule type="expression" dxfId="1443" priority="37">
      <formula>H21&gt;0</formula>
    </cfRule>
    <cfRule type="expression" dxfId="1442" priority="38">
      <formula>H21&lt;0</formula>
    </cfRule>
  </conditionalFormatting>
  <conditionalFormatting sqref="I25:I28">
    <cfRule type="expression" dxfId="1441" priority="31">
      <formula>I25&gt;0</formula>
    </cfRule>
    <cfRule type="expression" dxfId="1440" priority="32">
      <formula>I25&lt;0</formula>
    </cfRule>
  </conditionalFormatting>
  <conditionalFormatting sqref="I21:I24">
    <cfRule type="expression" dxfId="1439" priority="29">
      <formula>I21&gt;0</formula>
    </cfRule>
    <cfRule type="expression" dxfId="1438" priority="30">
      <formula>I21&lt;0</formula>
    </cfRule>
  </conditionalFormatting>
  <conditionalFormatting sqref="H29">
    <cfRule type="expression" dxfId="1437" priority="27">
      <formula>H29&gt;0</formula>
    </cfRule>
    <cfRule type="expression" dxfId="1436" priority="28">
      <formula>H29&lt;0</formula>
    </cfRule>
  </conditionalFormatting>
  <conditionalFormatting sqref="H30">
    <cfRule type="expression" dxfId="1435" priority="25">
      <formula>H30&gt;0</formula>
    </cfRule>
    <cfRule type="expression" dxfId="1434" priority="26">
      <formula>H30&lt;0</formula>
    </cfRule>
  </conditionalFormatting>
  <conditionalFormatting sqref="H31">
    <cfRule type="expression" dxfId="1433" priority="23">
      <formula>H31&gt;0</formula>
    </cfRule>
    <cfRule type="expression" dxfId="1432" priority="24">
      <formula>H31&lt;0</formula>
    </cfRule>
  </conditionalFormatting>
  <conditionalFormatting sqref="Q7">
    <cfRule type="expression" dxfId="1431" priority="21">
      <formula>Q7&gt;0</formula>
    </cfRule>
    <cfRule type="expression" dxfId="1430" priority="22">
      <formula>Q7&lt;0</formula>
    </cfRule>
  </conditionalFormatting>
  <conditionalFormatting sqref="Q8">
    <cfRule type="expression" dxfId="1429" priority="19">
      <formula>Q8&gt;0</formula>
    </cfRule>
    <cfRule type="expression" dxfId="1428" priority="20">
      <formula>Q8&lt;0</formula>
    </cfRule>
  </conditionalFormatting>
  <conditionalFormatting sqref="F73:F82">
    <cfRule type="expression" dxfId="1427" priority="17">
      <formula>F73&gt;0</formula>
    </cfRule>
    <cfRule type="expression" dxfId="1426" priority="18">
      <formula>F73&lt;0</formula>
    </cfRule>
  </conditionalFormatting>
  <conditionalFormatting sqref="H73:H76">
    <cfRule type="expression" dxfId="1425" priority="15">
      <formula>H73&gt;0</formula>
    </cfRule>
    <cfRule type="expression" dxfId="1424" priority="16">
      <formula>H73&lt;0</formula>
    </cfRule>
  </conditionalFormatting>
  <conditionalFormatting sqref="F69:F72">
    <cfRule type="expression" dxfId="1423" priority="13">
      <formula>F69&gt;0</formula>
    </cfRule>
    <cfRule type="expression" dxfId="1422" priority="14">
      <formula>F69&lt;0</formula>
    </cfRule>
  </conditionalFormatting>
  <conditionalFormatting sqref="H69:H72">
    <cfRule type="expression" dxfId="1421" priority="11">
      <formula>H69&gt;0</formula>
    </cfRule>
    <cfRule type="expression" dxfId="1420" priority="12">
      <formula>H69&lt;0</formula>
    </cfRule>
  </conditionalFormatting>
  <conditionalFormatting sqref="I73:I76">
    <cfRule type="expression" dxfId="1419" priority="9">
      <formula>I73&gt;0</formula>
    </cfRule>
    <cfRule type="expression" dxfId="1418" priority="10">
      <formula>I73&lt;0</formula>
    </cfRule>
  </conditionalFormatting>
  <conditionalFormatting sqref="I69:I72">
    <cfRule type="expression" dxfId="1417" priority="7">
      <formula>I69&gt;0</formula>
    </cfRule>
    <cfRule type="expression" dxfId="1416" priority="8">
      <formula>I69&lt;0</formula>
    </cfRule>
  </conditionalFormatting>
  <conditionalFormatting sqref="H77">
    <cfRule type="expression" dxfId="1415" priority="5">
      <formula>H77&gt;0</formula>
    </cfRule>
    <cfRule type="expression" dxfId="1414" priority="6">
      <formula>H77&lt;0</formula>
    </cfRule>
  </conditionalFormatting>
  <conditionalFormatting sqref="H78">
    <cfRule type="expression" dxfId="1413" priority="3">
      <formula>H78&gt;0</formula>
    </cfRule>
    <cfRule type="expression" dxfId="1412" priority="4">
      <formula>H78&lt;0</formula>
    </cfRule>
  </conditionalFormatting>
  <conditionalFormatting sqref="H79">
    <cfRule type="expression" dxfId="1411" priority="1">
      <formula>H79&gt;0</formula>
    </cfRule>
    <cfRule type="expression" dxfId="141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4"/>
      <c r="O2" s="11" t="s">
        <v>57</v>
      </c>
      <c r="Q2">
        <f>C18-H18</f>
        <v>0</v>
      </c>
      <c r="W2" s="131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5">
        <f>AC2/AC3-1</f>
        <v>3.1007751937983663E-3</v>
      </c>
    </row>
    <row r="3" spans="1:40" x14ac:dyDescent="0.25">
      <c r="A3" s="23" t="s">
        <v>71</v>
      </c>
      <c r="B3" s="161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30.13</v>
      </c>
      <c r="W3" s="131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5">
        <f t="shared" ref="AE3:AE66" si="1">AC3/AC4-1</f>
        <v>-7.9466803383746454E-3</v>
      </c>
      <c r="AG3" s="1"/>
      <c r="AK3" s="231"/>
      <c r="AN3" s="231"/>
    </row>
    <row r="4" spans="1:40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30.13</v>
      </c>
      <c r="R4" s="514">
        <v>1.6899999999999998E-2</v>
      </c>
      <c r="T4" s="1"/>
      <c r="W4" s="131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5">
        <f t="shared" si="1"/>
        <v>5.129520389841602E-4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T5" s="1"/>
      <c r="W5" s="131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5">
        <f t="shared" si="1"/>
        <v>-1.5155342258146076E-2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5">
        <f t="shared" si="1"/>
        <v>-1.883519206939277E-2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Q7" s="2">
        <f>Q10+Q8</f>
        <v>439.77999999999975</v>
      </c>
      <c r="R7">
        <v>0</v>
      </c>
      <c r="W7" s="131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5">
        <f t="shared" si="1"/>
        <v>-3.2837967401725732E-2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5">
        <f t="shared" si="1"/>
        <v>2.397506593143639E-4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T9" s="155"/>
      <c r="W9" s="131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5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210</v>
      </c>
      <c r="P10" s="34"/>
      <c r="Q10" s="2">
        <f>M35</f>
        <v>439.77999999999975</v>
      </c>
      <c r="W10" s="131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5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5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1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5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1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5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1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5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1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5">
        <f t="shared" si="1"/>
        <v>-1.0826076723935096E-2</v>
      </c>
    </row>
    <row r="16" spans="1:40" x14ac:dyDescent="0.25">
      <c r="G16" s="1"/>
      <c r="W16" s="131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5">
        <f t="shared" si="1"/>
        <v>-7.9383609619424478E-3</v>
      </c>
    </row>
    <row r="17" spans="1:31" x14ac:dyDescent="0.25">
      <c r="G17" s="1"/>
      <c r="W17" s="131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5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1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5">
        <f t="shared" si="1"/>
        <v>-4.8859934853419107E-3</v>
      </c>
    </row>
    <row r="19" spans="1:31" x14ac:dyDescent="0.25">
      <c r="N19" s="2"/>
      <c r="W19" s="131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5">
        <f t="shared" si="1"/>
        <v>-9.6774193548387899E-3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5">
        <f t="shared" si="1"/>
        <v>3.9324543141336932E-3</v>
      </c>
    </row>
    <row r="21" spans="1:31" x14ac:dyDescent="0.25">
      <c r="B21" s="190"/>
      <c r="C21" s="10"/>
      <c r="D21" s="40"/>
      <c r="E21" s="40"/>
      <c r="F21" s="40"/>
      <c r="G21" s="40"/>
      <c r="H21" s="228"/>
      <c r="I21" s="228"/>
      <c r="W21" s="131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5">
        <f t="shared" si="1"/>
        <v>-5.521048999309941E-3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228"/>
      <c r="W22" s="131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5">
        <f t="shared" si="1"/>
        <v>3.2310177705976439E-3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228"/>
      <c r="W23" s="131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5">
        <f t="shared" si="1"/>
        <v>-1.6121707538601315E-2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228"/>
      <c r="W24" s="131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5">
        <f t="shared" si="1"/>
        <v>-2.5232403718459473E-2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228"/>
      <c r="W25" s="131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5">
        <f t="shared" si="1"/>
        <v>-2.2084805653710404E-3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228"/>
      <c r="W26" s="131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5">
        <f t="shared" si="1"/>
        <v>9.1375083574771754E-3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228"/>
      <c r="W27" s="131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5">
        <f t="shared" si="1"/>
        <v>7.2162485065710769E-2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228"/>
      <c r="W28" s="131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5">
        <f t="shared" si="1"/>
        <v>-1.3901979264844377E-2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228"/>
      <c r="W29" s="131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5">
        <f t="shared" si="1"/>
        <v>6.6413662239088733E-3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228"/>
      <c r="W30" s="131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5">
        <f t="shared" si="1"/>
        <v>-4.0160642570281624E-3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228"/>
      <c r="W31" s="131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5">
        <f t="shared" si="1"/>
        <v>7.8571428571427848E-3</v>
      </c>
    </row>
    <row r="32" spans="1:31" x14ac:dyDescent="0.25">
      <c r="W32" s="131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5">
        <f t="shared" si="1"/>
        <v>-7.0921985815601829E-3</v>
      </c>
    </row>
    <row r="33" spans="1:31" x14ac:dyDescent="0.25">
      <c r="W33" s="131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5">
        <f t="shared" si="1"/>
        <v>5.9453032104637149E-3</v>
      </c>
    </row>
    <row r="34" spans="1:31" x14ac:dyDescent="0.25">
      <c r="W34" s="131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5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1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5">
        <f t="shared" si="1"/>
        <v>-1.0367577756833168E-2</v>
      </c>
    </row>
    <row r="36" spans="1:31" x14ac:dyDescent="0.25">
      <c r="A36" s="382" t="s">
        <v>1</v>
      </c>
      <c r="B36" s="382" t="s">
        <v>2</v>
      </c>
      <c r="C36" s="382" t="s">
        <v>4</v>
      </c>
      <c r="D36" s="384" t="s">
        <v>5</v>
      </c>
      <c r="E36" s="384" t="s">
        <v>94</v>
      </c>
      <c r="F36" s="384" t="s">
        <v>60</v>
      </c>
      <c r="G36" s="382" t="s">
        <v>3</v>
      </c>
      <c r="H36" s="382" t="s">
        <v>6</v>
      </c>
      <c r="I36" s="382" t="s">
        <v>7</v>
      </c>
      <c r="J36" s="382" t="s">
        <v>95</v>
      </c>
      <c r="K36" s="384" t="s">
        <v>61</v>
      </c>
      <c r="L36" s="382" t="s">
        <v>77</v>
      </c>
      <c r="M36" s="382" t="s">
        <v>38</v>
      </c>
      <c r="W36" s="131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5">
        <f t="shared" si="1"/>
        <v>4.1472392638036704E-2</v>
      </c>
    </row>
    <row r="37" spans="1:31" x14ac:dyDescent="0.25">
      <c r="A37" s="385" t="s">
        <v>205</v>
      </c>
      <c r="B37" s="375">
        <v>42502</v>
      </c>
      <c r="C37" s="376">
        <v>60</v>
      </c>
      <c r="D37" s="377">
        <v>38.25</v>
      </c>
      <c r="E37" s="377">
        <v>0</v>
      </c>
      <c r="F37" s="377">
        <f>C37*D37 + E37</f>
        <v>2295</v>
      </c>
      <c r="G37" s="375">
        <v>42528</v>
      </c>
      <c r="H37" s="380">
        <v>30</v>
      </c>
      <c r="I37" s="377">
        <v>45.25</v>
      </c>
      <c r="J37" s="377">
        <v>0.03</v>
      </c>
      <c r="K37" s="377">
        <f>H37*I37 - J37</f>
        <v>1357.47</v>
      </c>
      <c r="L37" s="376"/>
      <c r="M37" s="376"/>
      <c r="W37" s="131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5">
        <f t="shared" si="1"/>
        <v>2.438411261940665E-2</v>
      </c>
    </row>
    <row r="38" spans="1:31" x14ac:dyDescent="0.25">
      <c r="A38" s="386" t="s">
        <v>71</v>
      </c>
      <c r="B38" s="387"/>
      <c r="C38" s="376"/>
      <c r="D38" s="377"/>
      <c r="E38" s="377"/>
      <c r="F38" s="377"/>
      <c r="G38" s="375">
        <v>42544</v>
      </c>
      <c r="H38" s="380">
        <v>30</v>
      </c>
      <c r="I38" s="377">
        <v>45.91</v>
      </c>
      <c r="J38" s="377">
        <v>-0.01</v>
      </c>
      <c r="K38" s="377">
        <f>H38*I38 - J38</f>
        <v>1377.31</v>
      </c>
      <c r="L38" s="376"/>
      <c r="M38" s="376"/>
      <c r="W38" s="131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5">
        <f t="shared" si="1"/>
        <v>1.1956245230221318E-2</v>
      </c>
    </row>
    <row r="39" spans="1:31" x14ac:dyDescent="0.25">
      <c r="A39" s="376"/>
      <c r="B39" s="387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5">
        <f t="shared" si="1"/>
        <v>2.5445292620873694E-4</v>
      </c>
    </row>
    <row r="40" spans="1:31" x14ac:dyDescent="0.25">
      <c r="A40" s="376"/>
      <c r="B40" s="375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5">
        <f t="shared" si="1"/>
        <v>2.8068384792039325E-3</v>
      </c>
    </row>
    <row r="41" spans="1:31" x14ac:dyDescent="0.25">
      <c r="A41" s="376"/>
      <c r="B41" s="387"/>
      <c r="C41" s="376"/>
      <c r="D41" s="377"/>
      <c r="E41" s="377"/>
      <c r="F41" s="377"/>
      <c r="G41" s="375"/>
      <c r="H41" s="380"/>
      <c r="I41" s="377"/>
      <c r="J41" s="377"/>
      <c r="K41" s="377"/>
      <c r="L41" s="376"/>
      <c r="M41" s="376"/>
      <c r="W41" s="131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5">
        <f t="shared" si="1"/>
        <v>-5.0774308200051133E-3</v>
      </c>
    </row>
    <row r="42" spans="1:31" ht="20.25" thickBot="1" x14ac:dyDescent="0.35">
      <c r="A42" s="376"/>
      <c r="B42" s="387"/>
      <c r="C42" s="376"/>
      <c r="D42" s="377"/>
      <c r="E42" s="377"/>
      <c r="F42" s="377"/>
      <c r="G42" s="375"/>
      <c r="H42" s="380"/>
      <c r="I42" s="377"/>
      <c r="J42" s="377"/>
      <c r="K42" s="377"/>
      <c r="L42" s="376"/>
      <c r="M42" s="376"/>
      <c r="O42" s="716" t="s">
        <v>78</v>
      </c>
      <c r="P42" s="716"/>
      <c r="T42" s="111" t="s">
        <v>112</v>
      </c>
      <c r="U42" s="9"/>
      <c r="W42" s="131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5">
        <f t="shared" si="1"/>
        <v>-1.4757378689344569E-2</v>
      </c>
    </row>
    <row r="43" spans="1:31" ht="15.75" thickTop="1" x14ac:dyDescent="0.25">
      <c r="A43" s="376"/>
      <c r="B43" s="375"/>
      <c r="C43" s="376"/>
      <c r="D43" s="377"/>
      <c r="E43" s="377"/>
      <c r="F43" s="377"/>
      <c r="G43" s="375"/>
      <c r="H43" s="380"/>
      <c r="I43" s="377"/>
      <c r="J43" s="377"/>
      <c r="K43" s="377"/>
      <c r="L43" s="376"/>
      <c r="M43" s="376"/>
      <c r="O43" s="82">
        <v>1.1000000000000001</v>
      </c>
      <c r="P43" s="82">
        <f>O43*$Q$4</f>
        <v>33.143000000000001</v>
      </c>
      <c r="Q43" s="2"/>
      <c r="T43" s="136" t="s">
        <v>97</v>
      </c>
      <c r="U43" s="362">
        <v>38.700000000000003</v>
      </c>
      <c r="W43" s="131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5">
        <f t="shared" si="1"/>
        <v>1.9637847487885551E-2</v>
      </c>
    </row>
    <row r="44" spans="1:31" x14ac:dyDescent="0.25">
      <c r="A44" s="376"/>
      <c r="B44" s="375"/>
      <c r="C44" s="376"/>
      <c r="D44" s="377"/>
      <c r="E44" s="377"/>
      <c r="F44" s="377"/>
      <c r="G44" s="375"/>
      <c r="H44" s="380"/>
      <c r="I44" s="377"/>
      <c r="J44" s="377"/>
      <c r="K44" s="377"/>
      <c r="L44" s="376"/>
      <c r="M44" s="376"/>
      <c r="O44" s="82">
        <v>1.0900000000000001</v>
      </c>
      <c r="P44" s="82">
        <f t="shared" ref="P44:P63" si="3">O44*$Q$4</f>
        <v>32.841700000000003</v>
      </c>
      <c r="Q44" s="2"/>
      <c r="T44" s="107" t="s">
        <v>98</v>
      </c>
      <c r="U44" s="363">
        <v>38.74</v>
      </c>
      <c r="W44" s="131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5">
        <f t="shared" si="1"/>
        <v>5.3846153846153211E-3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76"/>
      <c r="I45" s="376"/>
      <c r="J45" s="376"/>
      <c r="K45" s="377"/>
      <c r="L45" s="376"/>
      <c r="M45" s="376"/>
      <c r="O45" s="82">
        <v>1.08</v>
      </c>
      <c r="P45" s="82">
        <f t="shared" si="3"/>
        <v>32.540399999999998</v>
      </c>
      <c r="Q45" s="2"/>
      <c r="T45" s="107" t="s">
        <v>99</v>
      </c>
      <c r="U45" s="363" t="s">
        <v>611</v>
      </c>
      <c r="W45" s="131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5">
        <f t="shared" si="1"/>
        <v>8.7946197620281108E-3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76"/>
      <c r="I46" s="376"/>
      <c r="J46" s="376"/>
      <c r="K46" s="377"/>
      <c r="L46" s="376"/>
      <c r="M46" s="376"/>
      <c r="O46" s="82">
        <v>1.07</v>
      </c>
      <c r="P46" s="82">
        <f t="shared" si="3"/>
        <v>32.239100000000001</v>
      </c>
      <c r="Q46" s="2"/>
      <c r="T46" s="107" t="s">
        <v>100</v>
      </c>
      <c r="U46" s="363" t="s">
        <v>612</v>
      </c>
      <c r="W46" s="131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5">
        <f t="shared" si="1"/>
        <v>1.6031537450722722E-2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76"/>
      <c r="I47" s="376"/>
      <c r="J47" s="376"/>
      <c r="K47" s="377"/>
      <c r="L47" s="376"/>
      <c r="M47" s="376"/>
      <c r="O47" s="82">
        <v>1.06</v>
      </c>
      <c r="P47" s="82">
        <f t="shared" si="3"/>
        <v>31.937799999999999</v>
      </c>
      <c r="Q47" s="2"/>
      <c r="T47" s="107" t="s">
        <v>101</v>
      </c>
      <c r="U47" s="363">
        <v>51.71</v>
      </c>
      <c r="W47" s="131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5">
        <f t="shared" si="1"/>
        <v>4.7055586130984928E-2</v>
      </c>
    </row>
    <row r="48" spans="1:31" x14ac:dyDescent="0.25">
      <c r="A48" s="376"/>
      <c r="B48" s="375"/>
      <c r="C48" s="376"/>
      <c r="D48" s="377"/>
      <c r="E48" s="377"/>
      <c r="F48" s="377"/>
      <c r="G48" s="375"/>
      <c r="H48" s="376"/>
      <c r="I48" s="377"/>
      <c r="J48" s="376"/>
      <c r="K48" s="377"/>
      <c r="L48" s="376"/>
      <c r="M48" s="376"/>
      <c r="O48" s="82">
        <v>1.05</v>
      </c>
      <c r="P48" s="82">
        <f t="shared" si="3"/>
        <v>31.636500000000002</v>
      </c>
      <c r="Q48" s="2"/>
      <c r="T48" s="107" t="s">
        <v>102</v>
      </c>
      <c r="U48" s="363">
        <v>1.4483900000000001</v>
      </c>
      <c r="W48" s="131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5">
        <f t="shared" si="1"/>
        <v>-8.7288597926894473E-3</v>
      </c>
    </row>
    <row r="49" spans="1:31" x14ac:dyDescent="0.25">
      <c r="A49" s="376"/>
      <c r="B49" s="375"/>
      <c r="C49" s="376"/>
      <c r="D49" s="377"/>
      <c r="E49" s="377"/>
      <c r="F49" s="377"/>
      <c r="G49" s="375"/>
      <c r="H49" s="376"/>
      <c r="I49" s="376"/>
      <c r="J49" s="376"/>
      <c r="K49" s="377"/>
      <c r="L49" s="376"/>
      <c r="M49" s="376"/>
      <c r="O49" s="82">
        <v>1.04</v>
      </c>
      <c r="P49" s="82">
        <f t="shared" si="3"/>
        <v>31.3352</v>
      </c>
      <c r="Q49" s="2"/>
      <c r="T49" s="107" t="s">
        <v>121</v>
      </c>
      <c r="U49" s="363" t="s">
        <v>444</v>
      </c>
      <c r="W49" s="131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5">
        <f t="shared" si="1"/>
        <v>1.5512465373961115E-2</v>
      </c>
    </row>
    <row r="50" spans="1:31" x14ac:dyDescent="0.25">
      <c r="A50" s="376"/>
      <c r="B50" s="376"/>
      <c r="C50" s="376"/>
      <c r="D50" s="377"/>
      <c r="E50" s="377"/>
      <c r="F50" s="377"/>
      <c r="G50" s="375"/>
      <c r="H50" s="376"/>
      <c r="I50" s="376"/>
      <c r="J50" s="376"/>
      <c r="K50" s="377"/>
      <c r="L50" s="376"/>
      <c r="M50" s="376"/>
      <c r="O50" s="82">
        <v>1.03</v>
      </c>
      <c r="P50" s="82">
        <f t="shared" si="3"/>
        <v>31.033899999999999</v>
      </c>
      <c r="Q50" s="2"/>
      <c r="T50" s="107"/>
      <c r="U50" s="363"/>
      <c r="W50" s="131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5">
        <f t="shared" si="1"/>
        <v>-1.0416666666666519E-2</v>
      </c>
    </row>
    <row r="51" spans="1:31" x14ac:dyDescent="0.25">
      <c r="A51" s="376"/>
      <c r="B51" s="376"/>
      <c r="C51" s="376"/>
      <c r="D51" s="377"/>
      <c r="E51" s="377"/>
      <c r="F51" s="377"/>
      <c r="G51" s="375"/>
      <c r="H51" s="376"/>
      <c r="I51" s="376"/>
      <c r="J51" s="376"/>
      <c r="K51" s="377"/>
      <c r="L51" s="376"/>
      <c r="M51" s="376"/>
      <c r="O51" s="82">
        <v>1.02</v>
      </c>
      <c r="P51" s="82">
        <f t="shared" si="3"/>
        <v>30.732599999999998</v>
      </c>
      <c r="Q51" s="2"/>
      <c r="T51" s="107" t="s">
        <v>104</v>
      </c>
      <c r="U51" s="363" t="s">
        <v>613</v>
      </c>
      <c r="W51" s="131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5">
        <f t="shared" si="1"/>
        <v>1.8709857581680867E-2</v>
      </c>
    </row>
    <row r="52" spans="1:31" x14ac:dyDescent="0.25">
      <c r="A52" s="376"/>
      <c r="B52" s="376"/>
      <c r="C52" s="376"/>
      <c r="D52" s="377"/>
      <c r="E52" s="377"/>
      <c r="F52" s="377"/>
      <c r="G52" s="375"/>
      <c r="H52" s="376"/>
      <c r="I52" s="376"/>
      <c r="J52" s="376"/>
      <c r="K52" s="377"/>
      <c r="L52" s="376"/>
      <c r="M52" s="376"/>
      <c r="O52" s="82">
        <v>1.01</v>
      </c>
      <c r="P52" s="82">
        <f t="shared" si="3"/>
        <v>30.4313</v>
      </c>
      <c r="Q52" s="2"/>
      <c r="T52" s="107" t="s">
        <v>105</v>
      </c>
      <c r="U52" s="363" t="s">
        <v>434</v>
      </c>
      <c r="W52" s="131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5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30.13</v>
      </c>
      <c r="Q53" s="2"/>
      <c r="T53" s="107" t="s">
        <v>106</v>
      </c>
      <c r="U53" s="364">
        <v>5372521</v>
      </c>
      <c r="W53" s="131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5">
        <f t="shared" si="1"/>
        <v>-2.8055031022390042E-2</v>
      </c>
    </row>
    <row r="54" spans="1:31" x14ac:dyDescent="0.25">
      <c r="O54" s="82">
        <v>0.99</v>
      </c>
      <c r="P54" s="82">
        <f t="shared" si="3"/>
        <v>29.828699999999998</v>
      </c>
      <c r="Q54" s="2"/>
      <c r="T54" s="107" t="s">
        <v>109</v>
      </c>
      <c r="U54" s="364">
        <v>5969030</v>
      </c>
      <c r="W54" s="131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5">
        <f t="shared" si="1"/>
        <v>3.2476319350474014E-3</v>
      </c>
    </row>
    <row r="55" spans="1:31" x14ac:dyDescent="0.25">
      <c r="B55" s="188" t="s">
        <v>113</v>
      </c>
      <c r="C55" s="188" t="s">
        <v>146</v>
      </c>
      <c r="D55" s="189" t="s">
        <v>145</v>
      </c>
      <c r="E55" s="191" t="s">
        <v>147</v>
      </c>
      <c r="F55" s="192" t="s">
        <v>65</v>
      </c>
      <c r="G55" s="226" t="s">
        <v>151</v>
      </c>
      <c r="H55" s="192" t="s">
        <v>88</v>
      </c>
      <c r="I55" s="192" t="s">
        <v>154</v>
      </c>
      <c r="O55" s="82">
        <v>0.98</v>
      </c>
      <c r="P55" s="82">
        <f t="shared" si="3"/>
        <v>29.5274</v>
      </c>
      <c r="Q55" s="2"/>
      <c r="T55" s="107" t="s">
        <v>107</v>
      </c>
      <c r="U55" s="363" t="s">
        <v>614</v>
      </c>
      <c r="W55" s="131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5">
        <f t="shared" si="1"/>
        <v>-6.4533476741057694E-3</v>
      </c>
    </row>
    <row r="56" spans="1:31" x14ac:dyDescent="0.25">
      <c r="B56" s="190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8">
        <f>(E56-D56)/D56</f>
        <v>7.241830065359485E-2</v>
      </c>
      <c r="I56" s="228"/>
      <c r="O56" s="82">
        <v>0.97</v>
      </c>
      <c r="P56" s="82">
        <f t="shared" si="3"/>
        <v>29.226099999999999</v>
      </c>
      <c r="T56" s="107" t="s">
        <v>110</v>
      </c>
      <c r="U56" s="363">
        <v>42.2</v>
      </c>
      <c r="W56" s="131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5">
        <f t="shared" si="1"/>
        <v>3.2371189641218212E-3</v>
      </c>
    </row>
    <row r="57" spans="1:31" x14ac:dyDescent="0.25">
      <c r="B57" s="190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8">
        <f>(E57-D57)/D57</f>
        <v>9.9084967320261411E-2</v>
      </c>
      <c r="I57" s="228"/>
      <c r="O57" s="82">
        <v>0.96</v>
      </c>
      <c r="P57" s="82">
        <f t="shared" si="3"/>
        <v>28.924799999999998</v>
      </c>
      <c r="T57" s="107" t="s">
        <v>111</v>
      </c>
      <c r="U57" s="363">
        <v>0.92</v>
      </c>
      <c r="W57" s="131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5">
        <f t="shared" si="1"/>
        <v>9.2567383610129284E-3</v>
      </c>
    </row>
    <row r="58" spans="1:31" x14ac:dyDescent="0.25">
      <c r="B58" s="190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8">
        <f>(E58-D58)/D58</f>
        <v>0.21620915032679747</v>
      </c>
      <c r="I58" s="228"/>
      <c r="O58" s="82">
        <v>0.95</v>
      </c>
      <c r="P58" s="82">
        <f t="shared" si="3"/>
        <v>28.623499999999996</v>
      </c>
      <c r="T58" s="107" t="s">
        <v>108</v>
      </c>
      <c r="U58" s="363" t="s">
        <v>122</v>
      </c>
      <c r="W58" s="131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5">
        <f t="shared" si="1"/>
        <v>-1.0878433505576712E-3</v>
      </c>
    </row>
    <row r="59" spans="1:31" x14ac:dyDescent="0.25">
      <c r="B59" s="190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8">
        <f>(E59-D59)/D59</f>
        <v>0.4431538190777895</v>
      </c>
      <c r="I59" s="228"/>
      <c r="O59" s="82">
        <v>0.94</v>
      </c>
      <c r="P59" s="82">
        <f t="shared" si="3"/>
        <v>28.322199999999999</v>
      </c>
      <c r="W59" s="131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5">
        <f t="shared" si="1"/>
        <v>-1.3680257510729543E-2</v>
      </c>
    </row>
    <row r="60" spans="1:31" x14ac:dyDescent="0.25">
      <c r="B60" s="190">
        <v>42544</v>
      </c>
      <c r="C60" s="10">
        <v>0</v>
      </c>
      <c r="D60" s="40"/>
      <c r="E60" s="40">
        <v>46.16</v>
      </c>
      <c r="F60" s="40">
        <v>439.78</v>
      </c>
      <c r="G60" s="40"/>
      <c r="H60" s="228"/>
      <c r="I60" s="228"/>
      <c r="O60" s="82">
        <v>0.93</v>
      </c>
      <c r="P60" s="82">
        <f t="shared" si="3"/>
        <v>28.020900000000001</v>
      </c>
      <c r="W60" s="131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5">
        <f t="shared" si="1"/>
        <v>-4.2875481386392855E-2</v>
      </c>
    </row>
    <row r="61" spans="1:31" x14ac:dyDescent="0.25">
      <c r="B61" s="190"/>
      <c r="C61" s="10"/>
      <c r="D61" s="40"/>
      <c r="E61" s="40"/>
      <c r="F61" s="40"/>
      <c r="G61" s="40"/>
      <c r="H61" s="228"/>
      <c r="I61" s="228"/>
      <c r="O61" s="82">
        <v>0.92</v>
      </c>
      <c r="P61" s="82">
        <f t="shared" si="3"/>
        <v>27.7196</v>
      </c>
      <c r="W61" s="131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5">
        <f t="shared" si="1"/>
        <v>0</v>
      </c>
    </row>
    <row r="62" spans="1:31" x14ac:dyDescent="0.25">
      <c r="B62" s="190"/>
      <c r="C62" s="10"/>
      <c r="D62" s="40"/>
      <c r="E62" s="40"/>
      <c r="F62" s="40"/>
      <c r="G62" s="40"/>
      <c r="H62" s="228"/>
      <c r="I62" s="228"/>
      <c r="O62" s="82">
        <v>0.91</v>
      </c>
      <c r="P62" s="82">
        <f t="shared" si="3"/>
        <v>27.418299999999999</v>
      </c>
      <c r="W62" s="131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5">
        <f t="shared" si="1"/>
        <v>1.1688311688311748E-2</v>
      </c>
    </row>
    <row r="63" spans="1:31" x14ac:dyDescent="0.25">
      <c r="B63" s="190"/>
      <c r="C63" s="10"/>
      <c r="D63" s="40"/>
      <c r="E63" s="40"/>
      <c r="F63" s="40"/>
      <c r="G63" s="40"/>
      <c r="H63" s="228"/>
      <c r="I63" s="228"/>
      <c r="O63" s="82">
        <v>0.9</v>
      </c>
      <c r="P63" s="82">
        <f t="shared" si="3"/>
        <v>27.117000000000001</v>
      </c>
      <c r="W63" s="131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5">
        <f t="shared" si="1"/>
        <v>-1.6853932584269593E-2</v>
      </c>
    </row>
    <row r="64" spans="1:31" x14ac:dyDescent="0.25">
      <c r="B64" s="190"/>
      <c r="C64" s="10"/>
      <c r="D64" s="40"/>
      <c r="E64" s="40"/>
      <c r="F64" s="40"/>
      <c r="G64" s="40"/>
      <c r="H64" s="228"/>
      <c r="I64" s="228"/>
      <c r="W64" s="131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5">
        <f t="shared" si="1"/>
        <v>-1.1859702245773596E-2</v>
      </c>
    </row>
    <row r="65" spans="2:31" x14ac:dyDescent="0.25">
      <c r="B65" s="190"/>
      <c r="C65" s="10"/>
      <c r="D65" s="40"/>
      <c r="E65" s="40"/>
      <c r="F65" s="40"/>
      <c r="G65" s="40"/>
      <c r="H65" s="228"/>
      <c r="I65" s="228"/>
      <c r="W65" s="131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5">
        <f t="shared" si="1"/>
        <v>1.329583226796216E-2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228"/>
      <c r="W66" s="131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5">
        <f t="shared" si="1"/>
        <v>2.5163826998689354E-2</v>
      </c>
    </row>
    <row r="67" spans="2:31" x14ac:dyDescent="0.25">
      <c r="W67" s="131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5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</sheetData>
  <mergeCells count="1">
    <mergeCell ref="O42:P42"/>
  </mergeCells>
  <conditionalFormatting sqref="N19">
    <cfRule type="expression" dxfId="1409" priority="25">
      <formula>N19&gt;0</formula>
    </cfRule>
    <cfRule type="expression" dxfId="140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407" priority="19">
      <formula>F21&gt;0</formula>
    </cfRule>
    <cfRule type="expression" dxfId="1406" priority="20">
      <formula>F21&lt;0</formula>
    </cfRule>
  </conditionalFormatting>
  <conditionalFormatting sqref="H21:H31">
    <cfRule type="expression" dxfId="1405" priority="17">
      <formula>H21&gt;0</formula>
    </cfRule>
    <cfRule type="expression" dxfId="1404" priority="18">
      <formula>H21&lt;0</formula>
    </cfRule>
  </conditionalFormatting>
  <conditionalFormatting sqref="I21:I31">
    <cfRule type="expression" dxfId="1403" priority="15">
      <formula>I21&gt;0</formula>
    </cfRule>
    <cfRule type="expression" dxfId="1402" priority="16">
      <formula>I21&lt;0</formula>
    </cfRule>
  </conditionalFormatting>
  <conditionalFormatting sqref="Q8">
    <cfRule type="expression" dxfId="1401" priority="7">
      <formula>Q8&gt;0</formula>
    </cfRule>
    <cfRule type="expression" dxfId="1400" priority="8">
      <formula>Q8&lt;0</formula>
    </cfRule>
  </conditionalFormatting>
  <conditionalFormatting sqref="Q7">
    <cfRule type="expression" dxfId="1399" priority="9">
      <formula>Q7&gt;0</formula>
    </cfRule>
    <cfRule type="expression" dxfId="1398" priority="10">
      <formula>Q7&lt;0</formula>
    </cfRule>
  </conditionalFormatting>
  <conditionalFormatting sqref="F56:F66">
    <cfRule type="expression" dxfId="1397" priority="5">
      <formula>F56&gt;0</formula>
    </cfRule>
    <cfRule type="expression" dxfId="1396" priority="6">
      <formula>F56&lt;0</formula>
    </cfRule>
  </conditionalFormatting>
  <conditionalFormatting sqref="H56:H66">
    <cfRule type="expression" dxfId="1395" priority="3">
      <formula>H56&gt;0</formula>
    </cfRule>
    <cfRule type="expression" dxfId="1394" priority="4">
      <formula>H56&lt;0</formula>
    </cfRule>
  </conditionalFormatting>
  <conditionalFormatting sqref="I56:I66">
    <cfRule type="expression" dxfId="1393" priority="1">
      <formula>I56&gt;0</formula>
    </cfRule>
    <cfRule type="expression" dxfId="139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4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</row>
    <row r="2" spans="1:31" x14ac:dyDescent="0.25">
      <c r="A2" s="6" t="s">
        <v>216</v>
      </c>
      <c r="B2" s="452">
        <v>42746</v>
      </c>
      <c r="C2" s="4">
        <v>30</v>
      </c>
      <c r="D2" s="3">
        <v>81.81</v>
      </c>
      <c r="E2" s="3">
        <v>0</v>
      </c>
      <c r="F2" s="3">
        <f t="shared" ref="F2:F17" si="0">C2*D2+E2</f>
        <v>2454.3000000000002</v>
      </c>
      <c r="G2" s="452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C35-H35</f>
        <v>350</v>
      </c>
      <c r="T2" s="1">
        <v>42568</v>
      </c>
      <c r="U2" t="s">
        <v>245</v>
      </c>
    </row>
    <row r="3" spans="1:31" x14ac:dyDescent="0.25">
      <c r="A3" s="23" t="s">
        <v>71</v>
      </c>
      <c r="B3" s="666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2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7">
        <f>IF(Q2=0, Q4, (F35-K35-M35)/Q2)</f>
        <v>65.256857142857157</v>
      </c>
      <c r="X3" s="1"/>
      <c r="AB3" s="231"/>
      <c r="AE3" s="231"/>
    </row>
    <row r="4" spans="1:31" x14ac:dyDescent="0.25">
      <c r="B4" s="666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2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53.57</v>
      </c>
      <c r="R4" s="228">
        <v>-4.8500000000000001E-2</v>
      </c>
      <c r="T4" s="1"/>
      <c r="AB4" s="231"/>
      <c r="AE4" s="231"/>
    </row>
    <row r="5" spans="1:31" x14ac:dyDescent="0.25">
      <c r="B5" s="452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2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18749.5</v>
      </c>
      <c r="T5" s="1"/>
      <c r="AB5" s="231"/>
      <c r="AE5" s="231"/>
    </row>
    <row r="6" spans="1:31" x14ac:dyDescent="0.25">
      <c r="B6" s="452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2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22839.900000000005</v>
      </c>
      <c r="AB6" s="231"/>
      <c r="AE6" s="231"/>
    </row>
    <row r="7" spans="1:31" x14ac:dyDescent="0.25">
      <c r="B7" s="452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2"/>
      <c r="I7" s="3"/>
      <c r="J7" s="3"/>
      <c r="K7" s="3"/>
      <c r="L7" s="4"/>
      <c r="O7" s="11" t="s">
        <v>179</v>
      </c>
      <c r="Q7" s="2">
        <f>Q10+Q8</f>
        <v>-3414.4500000000044</v>
      </c>
      <c r="R7">
        <v>250</v>
      </c>
      <c r="AB7" s="231"/>
      <c r="AE7" s="231"/>
    </row>
    <row r="8" spans="1:31" x14ac:dyDescent="0.25">
      <c r="B8" s="452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2"/>
      <c r="I8" s="3"/>
      <c r="J8" s="3"/>
      <c r="K8" s="3"/>
      <c r="L8" s="4"/>
      <c r="O8" s="11" t="s">
        <v>181</v>
      </c>
      <c r="P8" s="34"/>
      <c r="Q8" s="2">
        <f>K35+M35-F35+Q2*Q4</f>
        <v>-4090.4000000000051</v>
      </c>
      <c r="AB8" s="231"/>
      <c r="AE8" s="231"/>
    </row>
    <row r="9" spans="1:31" x14ac:dyDescent="0.25">
      <c r="B9" s="452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2"/>
      <c r="I9" s="3"/>
      <c r="J9" s="3"/>
      <c r="K9" s="3"/>
      <c r="L9" s="4"/>
      <c r="O9" s="11" t="s">
        <v>211</v>
      </c>
      <c r="Q9" s="228">
        <f>IF(Q2=0, 0, Q8/Q6)</f>
        <v>-0.17909010109501372</v>
      </c>
      <c r="T9" s="155"/>
    </row>
    <row r="10" spans="1:31" x14ac:dyDescent="0.25">
      <c r="B10" s="452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2"/>
      <c r="I10" s="4"/>
      <c r="J10" s="4"/>
      <c r="K10" s="3"/>
      <c r="L10" s="4"/>
      <c r="O10" s="11" t="s">
        <v>210</v>
      </c>
      <c r="P10" s="34"/>
      <c r="Q10" s="2">
        <f>M132</f>
        <v>675.95000000000073</v>
      </c>
    </row>
    <row r="11" spans="1:31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2"/>
      <c r="I11" s="4"/>
      <c r="J11" s="4"/>
      <c r="K11" s="3"/>
      <c r="L11" s="4"/>
      <c r="O11" s="11" t="s">
        <v>176</v>
      </c>
      <c r="P11" s="34"/>
      <c r="Q11" s="135">
        <v>2.1899999999999999E-2</v>
      </c>
    </row>
    <row r="12" spans="1:31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2"/>
      <c r="I12" s="4"/>
      <c r="J12" s="4"/>
      <c r="K12" s="3"/>
      <c r="L12" s="4"/>
    </row>
    <row r="13" spans="1:31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2"/>
      <c r="I13" s="3"/>
      <c r="J13" s="4"/>
      <c r="K13" s="3"/>
      <c r="L13" s="4"/>
    </row>
    <row r="14" spans="1:31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2"/>
      <c r="I14" s="4"/>
      <c r="J14" s="4"/>
      <c r="K14" s="3"/>
      <c r="L14" s="4"/>
    </row>
    <row r="15" spans="1:31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2"/>
      <c r="I15" s="4"/>
      <c r="J15" s="4"/>
      <c r="K15" s="3"/>
      <c r="L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31" x14ac:dyDescent="0.25">
      <c r="B16" s="496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O16" s="712">
        <v>42971</v>
      </c>
      <c r="P16" s="708" t="s">
        <v>754</v>
      </c>
      <c r="Q16" s="708" t="s">
        <v>766</v>
      </c>
      <c r="R16" s="707">
        <v>1.04</v>
      </c>
      <c r="S16" s="707"/>
      <c r="T16" s="708">
        <v>1.33</v>
      </c>
      <c r="U16" s="708"/>
      <c r="V16" s="705"/>
      <c r="W16" s="706"/>
    </row>
    <row r="17" spans="2:23" x14ac:dyDescent="0.25">
      <c r="B17" s="496">
        <v>42957</v>
      </c>
      <c r="C17" s="4">
        <v>50</v>
      </c>
      <c r="D17" s="2">
        <v>55.78</v>
      </c>
      <c r="E17" s="2">
        <v>0</v>
      </c>
      <c r="F17" s="2">
        <f t="shared" si="0"/>
        <v>2789</v>
      </c>
      <c r="O17" s="714"/>
      <c r="P17" s="708"/>
      <c r="Q17" s="708"/>
      <c r="R17" s="707"/>
      <c r="S17" s="705"/>
      <c r="T17" s="708"/>
      <c r="U17" s="708"/>
      <c r="V17" s="705"/>
      <c r="W17" s="706"/>
    </row>
    <row r="18" spans="2:23" x14ac:dyDescent="0.25"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x14ac:dyDescent="0.25">
      <c r="O26" s="713"/>
      <c r="P26" s="708"/>
      <c r="Q26" s="708"/>
      <c r="R26" s="705"/>
      <c r="S26" s="705"/>
      <c r="T26" s="708"/>
      <c r="U26" s="708"/>
      <c r="V26" s="705"/>
      <c r="W26" s="706"/>
    </row>
    <row r="34" spans="1:17" x14ac:dyDescent="0.25">
      <c r="G34" s="1"/>
      <c r="H34" s="71"/>
    </row>
    <row r="35" spans="1:17" x14ac:dyDescent="0.25">
      <c r="A35" s="32" t="s">
        <v>81</v>
      </c>
      <c r="B35" s="14"/>
      <c r="C35" s="14">
        <f>SUM(C2:C17)</f>
        <v>655</v>
      </c>
      <c r="D35" s="14"/>
      <c r="E35" s="14"/>
      <c r="F35" s="18">
        <f>SUM(F2:F17)</f>
        <v>43412.950000000004</v>
      </c>
      <c r="G35" s="14"/>
      <c r="H35" s="14">
        <f>SUM(H2:H14)</f>
        <v>305</v>
      </c>
      <c r="I35" s="14"/>
      <c r="J35" s="14"/>
      <c r="K35" s="14">
        <f>SUM(K2:K14)</f>
        <v>20498.05</v>
      </c>
      <c r="L35" s="14"/>
      <c r="M35" s="18">
        <f>SUM(M2:M14)</f>
        <v>75</v>
      </c>
    </row>
    <row r="36" spans="1:17" ht="15.75" thickBot="1" x14ac:dyDescent="0.3">
      <c r="A36" s="351" t="s">
        <v>195</v>
      </c>
      <c r="B36" s="352"/>
      <c r="C36" s="353">
        <f>SumByColor($A$36,C2:C34)</f>
        <v>305</v>
      </c>
      <c r="D36" s="353"/>
      <c r="E36" s="353"/>
      <c r="F36" s="354">
        <f>SumByColor($A$36,F2:F34)</f>
        <v>20194</v>
      </c>
      <c r="G36" s="353"/>
      <c r="H36" s="353">
        <f>SumByColor($A$36,H2:H34)</f>
        <v>305</v>
      </c>
      <c r="I36" s="353"/>
      <c r="J36" s="353"/>
      <c r="K36" s="354">
        <f>SumByColor($A$36,K2:K34)</f>
        <v>20498</v>
      </c>
      <c r="L36" s="353"/>
      <c r="M36" s="354">
        <f>SumByColor($A$36,M2:M34)</f>
        <v>75</v>
      </c>
      <c r="N36" s="2"/>
    </row>
    <row r="39" spans="1:17" ht="20.25" thickBot="1" x14ac:dyDescent="0.35">
      <c r="O39" s="704" t="s">
        <v>78</v>
      </c>
      <c r="P39" s="704"/>
    </row>
    <row r="40" spans="1:17" ht="15.75" thickTop="1" x14ac:dyDescent="0.25">
      <c r="O40" s="82">
        <v>1.1000000000000001</v>
      </c>
      <c r="P40" s="82">
        <f>O40*$Q$4</f>
        <v>58.927000000000007</v>
      </c>
    </row>
    <row r="41" spans="1:17" x14ac:dyDescent="0.25">
      <c r="B41" s="508" t="s">
        <v>113</v>
      </c>
      <c r="C41" s="508" t="s">
        <v>146</v>
      </c>
      <c r="D41" s="509" t="s">
        <v>145</v>
      </c>
      <c r="E41" s="510" t="s">
        <v>147</v>
      </c>
      <c r="F41" s="511" t="s">
        <v>65</v>
      </c>
      <c r="G41" s="512" t="s">
        <v>151</v>
      </c>
      <c r="H41" s="511" t="s">
        <v>88</v>
      </c>
      <c r="I41" s="511" t="s">
        <v>154</v>
      </c>
      <c r="J41" s="511" t="s">
        <v>150</v>
      </c>
      <c r="O41" s="82">
        <v>1.0900000000000001</v>
      </c>
      <c r="P41" s="82">
        <f t="shared" ref="P41:P60" si="1">O41*$Q$4</f>
        <v>58.391300000000001</v>
      </c>
    </row>
    <row r="42" spans="1:17" x14ac:dyDescent="0.25">
      <c r="B42" s="190">
        <v>42746</v>
      </c>
      <c r="C42" s="10">
        <v>30</v>
      </c>
      <c r="D42" s="40">
        <v>81.81</v>
      </c>
      <c r="E42" s="40">
        <v>84.7</v>
      </c>
      <c r="F42" s="40">
        <f t="shared" ref="F42:F49" si="2">C42*(E42-D42)</f>
        <v>86.700000000000017</v>
      </c>
      <c r="G42" s="40">
        <f t="shared" ref="G42:G49" si="3">D42*C42</f>
        <v>2454.3000000000002</v>
      </c>
      <c r="H42" s="228">
        <f t="shared" ref="H42:H49" si="4">(E42-D42)/D42</f>
        <v>3.5325754797701996E-2</v>
      </c>
      <c r="I42" s="10"/>
      <c r="J42" s="10"/>
      <c r="O42" s="82">
        <v>1.08</v>
      </c>
      <c r="P42" s="82">
        <f t="shared" si="1"/>
        <v>57.855600000000003</v>
      </c>
    </row>
    <row r="43" spans="1:17" x14ac:dyDescent="0.25">
      <c r="B43" s="190">
        <v>42748</v>
      </c>
      <c r="C43" s="10">
        <v>50</v>
      </c>
      <c r="D43" s="40">
        <v>81.09</v>
      </c>
      <c r="E43" s="40">
        <v>80.78</v>
      </c>
      <c r="F43" s="40">
        <f t="shared" si="2"/>
        <v>-15.500000000000114</v>
      </c>
      <c r="G43" s="40">
        <f t="shared" si="3"/>
        <v>4054.5</v>
      </c>
      <c r="H43" s="228">
        <f t="shared" si="4"/>
        <v>-3.8229128129239395E-3</v>
      </c>
      <c r="I43" s="10"/>
      <c r="J43" s="10"/>
      <c r="O43" s="82">
        <v>1.07</v>
      </c>
      <c r="P43" s="82">
        <f t="shared" si="1"/>
        <v>57.319900000000004</v>
      </c>
      <c r="Q43" s="2"/>
    </row>
    <row r="44" spans="1:17" x14ac:dyDescent="0.25">
      <c r="B44" s="190">
        <v>42753</v>
      </c>
      <c r="C44" s="10">
        <v>20</v>
      </c>
      <c r="D44" s="40">
        <v>80.327500000000001</v>
      </c>
      <c r="E44" s="40">
        <v>81.599999999999994</v>
      </c>
      <c r="F44" s="40">
        <f t="shared" si="2"/>
        <v>25.449999999999875</v>
      </c>
      <c r="G44" s="40">
        <f t="shared" si="3"/>
        <v>1606.55</v>
      </c>
      <c r="H44" s="228">
        <f t="shared" si="4"/>
        <v>1.5841399271731272E-2</v>
      </c>
      <c r="I44" s="10"/>
      <c r="J44" s="10"/>
      <c r="O44" s="82">
        <v>1.06</v>
      </c>
      <c r="P44" s="82">
        <f t="shared" si="1"/>
        <v>56.784200000000006</v>
      </c>
      <c r="Q44" s="2"/>
    </row>
    <row r="45" spans="1:17" x14ac:dyDescent="0.25">
      <c r="A45" t="s">
        <v>361</v>
      </c>
      <c r="B45" s="190">
        <v>42754</v>
      </c>
      <c r="C45" s="10">
        <v>50</v>
      </c>
      <c r="D45" s="40">
        <v>80.659000000000006</v>
      </c>
      <c r="E45" s="40">
        <v>80.77</v>
      </c>
      <c r="F45" s="40">
        <f t="shared" si="2"/>
        <v>5.5499999999994998</v>
      </c>
      <c r="G45" s="40">
        <f t="shared" si="3"/>
        <v>4032.9500000000003</v>
      </c>
      <c r="H45" s="228">
        <f t="shared" si="4"/>
        <v>1.3761638502831674E-3</v>
      </c>
      <c r="I45" s="10"/>
      <c r="J45" s="10"/>
      <c r="O45" s="82">
        <v>1.05</v>
      </c>
      <c r="P45" s="82">
        <f t="shared" si="1"/>
        <v>56.2485</v>
      </c>
      <c r="Q45" s="2"/>
    </row>
    <row r="46" spans="1:17" x14ac:dyDescent="0.25">
      <c r="A46" t="s">
        <v>361</v>
      </c>
      <c r="B46" s="190">
        <v>42760</v>
      </c>
      <c r="C46" s="10">
        <v>50</v>
      </c>
      <c r="D46" s="40">
        <v>80.659000000000006</v>
      </c>
      <c r="E46" s="40">
        <v>82.98</v>
      </c>
      <c r="F46" s="40">
        <f t="shared" si="2"/>
        <v>116.0499999999999</v>
      </c>
      <c r="G46" s="40">
        <f t="shared" si="3"/>
        <v>4032.9500000000003</v>
      </c>
      <c r="H46" s="228">
        <f t="shared" si="4"/>
        <v>2.8775462130698346E-2</v>
      </c>
      <c r="I46" s="10"/>
      <c r="J46" s="10"/>
      <c r="O46" s="82">
        <v>1.04</v>
      </c>
      <c r="P46" s="82">
        <f t="shared" si="1"/>
        <v>55.712800000000001</v>
      </c>
      <c r="Q46" s="2"/>
    </row>
    <row r="47" spans="1:17" x14ac:dyDescent="0.25">
      <c r="A47" t="s">
        <v>399</v>
      </c>
      <c r="B47" s="190">
        <v>42766</v>
      </c>
      <c r="C47" s="10">
        <v>75</v>
      </c>
      <c r="D47" s="40">
        <v>79.439300000000003</v>
      </c>
      <c r="E47" s="40">
        <v>77.67</v>
      </c>
      <c r="F47" s="40">
        <f t="shared" si="2"/>
        <v>-132.6975000000001</v>
      </c>
      <c r="G47" s="40">
        <f t="shared" si="3"/>
        <v>5957.9475000000002</v>
      </c>
      <c r="H47" s="228">
        <f t="shared" si="4"/>
        <v>-2.2272351342471561E-2</v>
      </c>
      <c r="I47" s="10"/>
      <c r="J47" s="10"/>
      <c r="O47" s="82">
        <v>1.03</v>
      </c>
      <c r="P47" s="82">
        <f t="shared" si="1"/>
        <v>55.177100000000003</v>
      </c>
      <c r="Q47" s="2"/>
    </row>
    <row r="48" spans="1:17" x14ac:dyDescent="0.25">
      <c r="A48" t="s">
        <v>356</v>
      </c>
      <c r="B48" s="190">
        <v>42772</v>
      </c>
      <c r="C48" s="10">
        <v>100</v>
      </c>
      <c r="D48" s="40">
        <v>78.391999999999996</v>
      </c>
      <c r="E48" s="40">
        <v>74.06</v>
      </c>
      <c r="F48" s="40">
        <f t="shared" si="2"/>
        <v>-433.19999999999936</v>
      </c>
      <c r="G48" s="40">
        <f t="shared" si="3"/>
        <v>7839.2</v>
      </c>
      <c r="H48" s="228">
        <f t="shared" si="4"/>
        <v>-5.5260740891927666E-2</v>
      </c>
      <c r="I48" s="10"/>
      <c r="J48" s="10"/>
      <c r="O48" s="82">
        <v>1.02</v>
      </c>
      <c r="P48" s="82">
        <f t="shared" si="1"/>
        <v>54.641400000000004</v>
      </c>
      <c r="Q48" s="2"/>
    </row>
    <row r="49" spans="1:17" x14ac:dyDescent="0.25">
      <c r="A49" t="s">
        <v>425</v>
      </c>
      <c r="B49" s="190">
        <v>42773</v>
      </c>
      <c r="C49" s="10">
        <v>125</v>
      </c>
      <c r="D49" s="40">
        <v>77.329599999999999</v>
      </c>
      <c r="E49" s="40">
        <v>71.95</v>
      </c>
      <c r="F49" s="40">
        <f t="shared" si="2"/>
        <v>-672.44999999999959</v>
      </c>
      <c r="G49" s="40">
        <f t="shared" si="3"/>
        <v>9666.2000000000007</v>
      </c>
      <c r="H49" s="228">
        <f t="shared" si="4"/>
        <v>-6.9567151517659423E-2</v>
      </c>
      <c r="I49" s="10"/>
      <c r="J49" s="10"/>
      <c r="O49" s="82">
        <v>1.01</v>
      </c>
      <c r="P49" s="82">
        <f t="shared" si="1"/>
        <v>54.105699999999999</v>
      </c>
      <c r="Q49" s="2"/>
    </row>
    <row r="50" spans="1:17" x14ac:dyDescent="0.25">
      <c r="A50" t="s">
        <v>468</v>
      </c>
      <c r="B50" s="190">
        <v>42788</v>
      </c>
      <c r="C50" s="10">
        <v>125</v>
      </c>
      <c r="D50" s="40">
        <v>77.329599999999999</v>
      </c>
      <c r="E50" s="40">
        <v>73.61</v>
      </c>
      <c r="F50" s="40">
        <f t="shared" ref="F50" si="5">C50*(E50-D50)</f>
        <v>-464.95</v>
      </c>
      <c r="G50" s="40">
        <f t="shared" ref="G50" si="6">D50*C50</f>
        <v>9666.2000000000007</v>
      </c>
      <c r="H50" s="228">
        <f t="shared" ref="H50" si="7">(E50-D50)/D50</f>
        <v>-4.8100597959901507E-2</v>
      </c>
      <c r="I50" s="10"/>
      <c r="J50" s="10"/>
      <c r="O50" s="82">
        <v>1</v>
      </c>
      <c r="P50" s="82">
        <f t="shared" si="1"/>
        <v>53.57</v>
      </c>
      <c r="Q50" s="2"/>
    </row>
    <row r="51" spans="1:17" x14ac:dyDescent="0.25">
      <c r="A51" t="s">
        <v>490</v>
      </c>
      <c r="B51" s="190">
        <v>42794</v>
      </c>
      <c r="C51" s="10">
        <v>300</v>
      </c>
      <c r="D51" s="40">
        <v>71.360699999999994</v>
      </c>
      <c r="E51" s="40">
        <v>63.59</v>
      </c>
      <c r="F51" s="40">
        <f t="shared" ref="F51" si="8">C51*(E51-D51)</f>
        <v>-2331.2099999999973</v>
      </c>
      <c r="G51" s="40">
        <f t="shared" ref="G51" si="9">D51*C51</f>
        <v>21408.21</v>
      </c>
      <c r="H51" s="228">
        <f t="shared" ref="H51" si="10">(E51-D51)/D51</f>
        <v>-0.1088932703855202</v>
      </c>
      <c r="I51" s="10"/>
      <c r="J51" s="40"/>
      <c r="O51" s="82">
        <v>0.99</v>
      </c>
      <c r="P51" s="82">
        <f t="shared" si="1"/>
        <v>53.034300000000002</v>
      </c>
      <c r="Q51" s="2"/>
    </row>
    <row r="52" spans="1:17" x14ac:dyDescent="0.25">
      <c r="A52" t="s">
        <v>490</v>
      </c>
      <c r="B52" s="190">
        <v>42795</v>
      </c>
      <c r="C52" s="10">
        <v>300</v>
      </c>
      <c r="D52" s="40">
        <v>71.317300000000003</v>
      </c>
      <c r="E52" s="40">
        <v>64.88</v>
      </c>
      <c r="F52" s="40">
        <f t="shared" ref="F52" si="11">C52*(E52-D52)</f>
        <v>-1931.1900000000023</v>
      </c>
      <c r="G52" s="40">
        <f t="shared" ref="G52" si="12">D52*C52</f>
        <v>21395.190000000002</v>
      </c>
      <c r="H52" s="228">
        <f t="shared" ref="H52:H53" si="13">(E52-D52)/D52</f>
        <v>-9.0262811407610874E-2</v>
      </c>
      <c r="I52" s="10" t="s">
        <v>186</v>
      </c>
      <c r="J52" s="40"/>
      <c r="O52" s="82">
        <v>0.98</v>
      </c>
      <c r="P52" s="82">
        <f t="shared" si="1"/>
        <v>52.498599999999996</v>
      </c>
      <c r="Q52" s="2"/>
    </row>
    <row r="53" spans="1:17" x14ac:dyDescent="0.25">
      <c r="A53">
        <v>75</v>
      </c>
      <c r="B53" s="190">
        <v>42800</v>
      </c>
      <c r="C53" s="10">
        <v>300</v>
      </c>
      <c r="D53" s="40">
        <v>71.317300000000003</v>
      </c>
      <c r="E53" s="40">
        <v>65.599999999999994</v>
      </c>
      <c r="F53" s="40">
        <f t="shared" ref="F53" si="14">C53*(E53-D53)</f>
        <v>-1715.1900000000026</v>
      </c>
      <c r="G53" s="40">
        <f t="shared" ref="G53" si="15">D53*C53</f>
        <v>21395.190000000002</v>
      </c>
      <c r="H53" s="228">
        <f t="shared" si="13"/>
        <v>-8.0167084283897572E-2</v>
      </c>
      <c r="I53" s="10"/>
      <c r="J53" s="40"/>
      <c r="O53" s="82">
        <v>0.97</v>
      </c>
      <c r="P53" s="82">
        <f t="shared" si="1"/>
        <v>51.962899999999998</v>
      </c>
      <c r="Q53" s="2"/>
    </row>
    <row r="54" spans="1:17" x14ac:dyDescent="0.25">
      <c r="A54">
        <v>0</v>
      </c>
      <c r="B54" s="190">
        <v>42803</v>
      </c>
      <c r="C54" s="10">
        <v>200</v>
      </c>
      <c r="D54" s="40">
        <v>72.186800000000005</v>
      </c>
      <c r="E54" s="40">
        <v>70.02</v>
      </c>
      <c r="F54" s="40">
        <f t="shared" ref="F54" si="16">C54*(E54-D54)</f>
        <v>-433.36000000000183</v>
      </c>
      <c r="G54" s="40">
        <f t="shared" ref="G54" si="17">D54*C54</f>
        <v>14437.36</v>
      </c>
      <c r="H54" s="228">
        <f t="shared" ref="H54" si="18">(E54-D54)/D54</f>
        <v>-3.0016568126028705E-2</v>
      </c>
      <c r="I54" s="10"/>
      <c r="J54" s="40"/>
      <c r="O54" s="82">
        <v>0.96</v>
      </c>
      <c r="P54" s="82">
        <f t="shared" si="1"/>
        <v>51.427199999999999</v>
      </c>
      <c r="Q54" s="2"/>
    </row>
    <row r="55" spans="1:17" x14ac:dyDescent="0.25">
      <c r="A55">
        <v>0</v>
      </c>
      <c r="B55" s="190">
        <v>42804</v>
      </c>
      <c r="C55" s="10">
        <v>175</v>
      </c>
      <c r="D55" s="40">
        <v>72.130799999999994</v>
      </c>
      <c r="E55" s="40">
        <v>69.81</v>
      </c>
      <c r="F55" s="40">
        <f t="shared" ref="F55" si="19">C55*(E55-D55)</f>
        <v>-406.13999999999851</v>
      </c>
      <c r="G55" s="40">
        <f t="shared" ref="G55" si="20">D55*C55</f>
        <v>12622.89</v>
      </c>
      <c r="H55" s="228">
        <f t="shared" ref="H55" si="21">(E55-D55)/D55</f>
        <v>-3.2174882297160041E-2</v>
      </c>
      <c r="I55" s="10"/>
      <c r="J55" s="40">
        <v>269.81</v>
      </c>
      <c r="O55" s="82">
        <v>0.95</v>
      </c>
      <c r="P55" s="82">
        <f t="shared" si="1"/>
        <v>50.891500000000001</v>
      </c>
      <c r="Q55" s="2"/>
    </row>
    <row r="56" spans="1:17" x14ac:dyDescent="0.25">
      <c r="A56">
        <v>0</v>
      </c>
      <c r="B56" s="190">
        <v>42808</v>
      </c>
      <c r="C56" s="7">
        <v>200</v>
      </c>
      <c r="D56" s="44">
        <v>71.599500000000006</v>
      </c>
      <c r="E56" s="44">
        <v>67.83</v>
      </c>
      <c r="F56" s="40">
        <f t="shared" ref="F56" si="22">C56*(E56-D56)</f>
        <v>-753.90000000000157</v>
      </c>
      <c r="G56" s="40">
        <f t="shared" ref="G56" si="23">D56*C56</f>
        <v>14319.900000000001</v>
      </c>
      <c r="H56" s="228">
        <f t="shared" ref="H56" si="24">(E56-D56)/D56</f>
        <v>-5.2647015691450465E-2</v>
      </c>
      <c r="I56" s="10"/>
      <c r="J56" s="40">
        <v>-78</v>
      </c>
      <c r="O56" s="82">
        <v>0.94</v>
      </c>
      <c r="P56" s="82">
        <f t="shared" si="1"/>
        <v>50.355799999999995</v>
      </c>
    </row>
    <row r="57" spans="1:17" x14ac:dyDescent="0.25">
      <c r="A57">
        <v>0</v>
      </c>
      <c r="B57" s="190">
        <v>42809</v>
      </c>
      <c r="C57" s="10">
        <v>200</v>
      </c>
      <c r="D57" s="40">
        <v>71.599500000000006</v>
      </c>
      <c r="E57" s="40">
        <v>68.36</v>
      </c>
      <c r="F57" s="40">
        <f t="shared" ref="F57" si="25">C57*(E57-D57)</f>
        <v>-647.90000000000134</v>
      </c>
      <c r="G57" s="40">
        <f t="shared" ref="G57" si="26">D57*C57</f>
        <v>14319.900000000001</v>
      </c>
      <c r="H57" s="228">
        <f t="shared" ref="H57" si="27">(E57-D57)/D57</f>
        <v>-4.5244729362635301E-2</v>
      </c>
      <c r="I57" s="10"/>
      <c r="J57" s="40">
        <v>28.06</v>
      </c>
      <c r="O57" s="82">
        <v>0.93</v>
      </c>
      <c r="P57" s="82">
        <f t="shared" si="1"/>
        <v>49.820100000000004</v>
      </c>
    </row>
    <row r="58" spans="1:17" x14ac:dyDescent="0.25">
      <c r="A58">
        <v>0</v>
      </c>
      <c r="B58" s="190">
        <v>42821</v>
      </c>
      <c r="C58" s="10">
        <v>200</v>
      </c>
      <c r="D58" s="40">
        <v>71.599500000000006</v>
      </c>
      <c r="E58" s="40">
        <v>69.66</v>
      </c>
      <c r="F58" s="40">
        <f t="shared" ref="F58" si="28">C58*(E58-D58)</f>
        <v>-387.90000000000191</v>
      </c>
      <c r="G58" s="40">
        <f t="shared" ref="G58" si="29">D58*C58</f>
        <v>14319.900000000001</v>
      </c>
      <c r="H58" s="228">
        <f t="shared" ref="H58" si="30">(E58-D58)/D58</f>
        <v>-2.7088177990069896E-2</v>
      </c>
      <c r="I58" s="10"/>
      <c r="J58" s="40">
        <v>288</v>
      </c>
      <c r="O58" s="82">
        <v>0.92</v>
      </c>
      <c r="P58" s="82">
        <f t="shared" si="1"/>
        <v>49.284400000000005</v>
      </c>
    </row>
    <row r="59" spans="1:17" x14ac:dyDescent="0.25">
      <c r="A59">
        <v>200</v>
      </c>
      <c r="B59" s="190">
        <v>42862</v>
      </c>
      <c r="C59" s="10">
        <v>200</v>
      </c>
      <c r="D59" s="40">
        <v>71.599999999999994</v>
      </c>
      <c r="E59" s="40">
        <v>65.010000000000005</v>
      </c>
      <c r="F59" s="40">
        <f t="shared" ref="F59" si="31">C59*(E59-D59)</f>
        <v>-1317.9999999999977</v>
      </c>
      <c r="G59" s="40">
        <f t="shared" ref="G59" si="32">D59*C59</f>
        <v>14319.999999999998</v>
      </c>
      <c r="H59" s="228">
        <f t="shared" ref="H59" si="33">(E59-D59)/D59</f>
        <v>-9.2039106145251251E-2</v>
      </c>
      <c r="I59" s="10"/>
      <c r="J59" s="40">
        <v>-642</v>
      </c>
      <c r="O59" s="82">
        <v>0.91</v>
      </c>
      <c r="P59" s="82">
        <f t="shared" si="1"/>
        <v>48.748699999999999</v>
      </c>
    </row>
    <row r="60" spans="1:17" x14ac:dyDescent="0.25">
      <c r="A60">
        <v>200</v>
      </c>
      <c r="B60" s="190">
        <v>42865</v>
      </c>
      <c r="C60" s="10">
        <v>300</v>
      </c>
      <c r="D60" s="40">
        <v>69.02</v>
      </c>
      <c r="E60" s="40">
        <v>63.04</v>
      </c>
      <c r="F60" s="40">
        <f t="shared" ref="F60" si="34">C60*(E60-D60)</f>
        <v>-1793.9999999999991</v>
      </c>
      <c r="G60" s="40">
        <f t="shared" ref="G60" si="35">D60*C60</f>
        <v>20706</v>
      </c>
      <c r="H60" s="228">
        <f t="shared" ref="H60" si="36">(E60-D60)/D60</f>
        <v>-8.6641553172993296E-2</v>
      </c>
      <c r="I60" s="10"/>
      <c r="J60" s="40">
        <v>-1117</v>
      </c>
      <c r="O60" s="82">
        <v>0.9</v>
      </c>
      <c r="P60" s="82">
        <f t="shared" si="1"/>
        <v>48.213000000000001</v>
      </c>
    </row>
    <row r="61" spans="1:17" x14ac:dyDescent="0.25">
      <c r="A61">
        <v>200</v>
      </c>
      <c r="B61" s="190">
        <v>42866</v>
      </c>
      <c r="C61" s="10">
        <v>350</v>
      </c>
      <c r="D61" s="40">
        <v>67.884799999999998</v>
      </c>
      <c r="E61" s="40">
        <v>61.68</v>
      </c>
      <c r="F61" s="40">
        <f t="shared" ref="F61" si="37">C61*(E61-D61)</f>
        <v>-2171.6799999999994</v>
      </c>
      <c r="G61" s="40">
        <f t="shared" ref="G61" si="38">D61*C61</f>
        <v>23759.68</v>
      </c>
      <c r="H61" s="228">
        <f t="shared" ref="H61" si="39">(E61-D61)/D61</f>
        <v>-9.1401904402752879E-2</v>
      </c>
      <c r="I61" s="10"/>
      <c r="J61" s="40">
        <v>-1496</v>
      </c>
    </row>
    <row r="62" spans="1:17" x14ac:dyDescent="0.25">
      <c r="A62">
        <v>200</v>
      </c>
      <c r="B62" s="190">
        <v>42887</v>
      </c>
      <c r="C62" s="10">
        <v>400</v>
      </c>
      <c r="D62" s="40">
        <v>65.906700000000001</v>
      </c>
      <c r="E62" s="40">
        <v>52.41</v>
      </c>
      <c r="F62" s="40">
        <f t="shared" ref="F62" si="40">C62*(E62-D62)</f>
        <v>-5398.6800000000021</v>
      </c>
      <c r="G62" s="40">
        <f t="shared" ref="G62" si="41">D62*C62</f>
        <v>26362.68</v>
      </c>
      <c r="H62" s="228">
        <f t="shared" ref="H62" si="42">(E62-D62)/D62</f>
        <v>-0.20478494599183397</v>
      </c>
      <c r="I62" s="10"/>
      <c r="J62" s="40">
        <v>-4723</v>
      </c>
    </row>
    <row r="63" spans="1:17" x14ac:dyDescent="0.25">
      <c r="A63">
        <v>150</v>
      </c>
      <c r="B63" s="190">
        <v>42894</v>
      </c>
      <c r="C63" s="10">
        <v>350</v>
      </c>
      <c r="D63" s="40">
        <v>67.179299999999998</v>
      </c>
      <c r="E63" s="40">
        <v>56.97</v>
      </c>
      <c r="F63" s="40">
        <f t="shared" ref="F63" si="43">C63*(E63-D63)</f>
        <v>-3573.2549999999997</v>
      </c>
      <c r="G63" s="40">
        <f t="shared" ref="G63" si="44">D63*C63</f>
        <v>23512.755000000001</v>
      </c>
      <c r="H63" s="228">
        <f t="shared" ref="H63" si="45">(E63-D63)/D63</f>
        <v>-0.15197091961363096</v>
      </c>
      <c r="I63" s="10"/>
      <c r="J63" s="40">
        <v>-2897</v>
      </c>
    </row>
    <row r="64" spans="1:17" x14ac:dyDescent="0.25">
      <c r="A64">
        <v>250</v>
      </c>
      <c r="B64" s="190">
        <v>42917</v>
      </c>
      <c r="C64" s="10">
        <v>250</v>
      </c>
      <c r="D64" s="40">
        <v>68.349999999999994</v>
      </c>
      <c r="E64" s="40">
        <v>63.24</v>
      </c>
      <c r="F64" s="40">
        <f t="shared" ref="F64" si="46">C64*(E64-D64)</f>
        <v>-1277.4999999999982</v>
      </c>
      <c r="G64" s="40">
        <f t="shared" ref="G64" si="47">D64*C64</f>
        <v>17087.5</v>
      </c>
      <c r="H64" s="228">
        <f t="shared" ref="H64" si="48">(E64-D64)/D64</f>
        <v>-7.47622531089977E-2</v>
      </c>
      <c r="I64" s="10"/>
      <c r="J64" s="40">
        <v>-602</v>
      </c>
    </row>
    <row r="65" spans="1:10" x14ac:dyDescent="0.25">
      <c r="A65">
        <v>250</v>
      </c>
      <c r="B65" s="190">
        <v>42949</v>
      </c>
      <c r="C65" s="10">
        <v>300</v>
      </c>
      <c r="D65" s="40">
        <v>66.836299999999994</v>
      </c>
      <c r="E65" s="40">
        <v>58.88</v>
      </c>
      <c r="F65" s="40">
        <f t="shared" ref="F65" si="49">C65*(E65-D65)</f>
        <v>-2386.8899999999976</v>
      </c>
      <c r="G65" s="40">
        <f t="shared" ref="G65" si="50">D65*C65</f>
        <v>20050.89</v>
      </c>
      <c r="H65" s="228">
        <f t="shared" ref="H65" si="51">(E65-D65)/D65</f>
        <v>-0.11904159865222928</v>
      </c>
      <c r="I65" s="10"/>
      <c r="J65" s="40">
        <v>-1711</v>
      </c>
    </row>
    <row r="66" spans="1:10" x14ac:dyDescent="0.25">
      <c r="A66">
        <v>250</v>
      </c>
      <c r="B66" s="190">
        <v>42957</v>
      </c>
      <c r="C66" s="10">
        <v>350</v>
      </c>
      <c r="D66" s="40">
        <v>65.256900000000002</v>
      </c>
      <c r="E66" s="40">
        <v>55.65</v>
      </c>
      <c r="F66" s="40">
        <f t="shared" ref="F66" si="52">C66*(E66-D66)</f>
        <v>-3362.4150000000009</v>
      </c>
      <c r="G66" s="40">
        <f t="shared" ref="G66" si="53">D66*C66</f>
        <v>22839.915000000001</v>
      </c>
      <c r="H66" s="228">
        <f t="shared" ref="H66" si="54">(E66-D66)/D66</f>
        <v>-0.14721661617392187</v>
      </c>
      <c r="I66" s="10"/>
      <c r="J66" s="40">
        <v>-2686</v>
      </c>
    </row>
    <row r="67" spans="1:10" x14ac:dyDescent="0.25">
      <c r="B67" s="10"/>
      <c r="C67" s="10"/>
      <c r="D67" s="40"/>
      <c r="E67" s="40"/>
      <c r="F67" s="40"/>
      <c r="G67" s="10"/>
      <c r="H67" s="10"/>
      <c r="I67" s="10"/>
      <c r="J67" s="40"/>
    </row>
    <row r="68" spans="1:10" x14ac:dyDescent="0.25">
      <c r="B68" s="10"/>
      <c r="C68" s="10"/>
      <c r="D68" s="40"/>
      <c r="E68" s="40"/>
      <c r="F68" s="40"/>
      <c r="G68" s="10"/>
      <c r="H68" s="10"/>
      <c r="I68" s="10"/>
      <c r="J68" s="40"/>
    </row>
    <row r="69" spans="1:10" x14ac:dyDescent="0.25">
      <c r="B69" s="10"/>
      <c r="C69" s="10"/>
      <c r="D69" s="40"/>
      <c r="E69" s="40"/>
      <c r="F69" s="40"/>
      <c r="G69" s="10"/>
      <c r="H69" s="10"/>
      <c r="I69" s="10"/>
      <c r="J69" s="40"/>
    </row>
    <row r="70" spans="1:10" x14ac:dyDescent="0.25">
      <c r="B70" s="10"/>
      <c r="C70" s="10"/>
      <c r="D70" s="40"/>
      <c r="E70" s="40"/>
      <c r="F70" s="40"/>
      <c r="G70" s="10"/>
      <c r="H70" s="10"/>
      <c r="I70" s="10"/>
      <c r="J70" s="40"/>
    </row>
    <row r="71" spans="1:10" x14ac:dyDescent="0.25">
      <c r="B71" s="10"/>
      <c r="C71" s="10"/>
      <c r="D71" s="40"/>
      <c r="E71" s="40"/>
      <c r="F71" s="40"/>
      <c r="G71" s="10"/>
      <c r="H71" s="10"/>
      <c r="I71" s="10"/>
      <c r="J71" s="40"/>
    </row>
    <row r="72" spans="1:10" x14ac:dyDescent="0.25">
      <c r="B72" s="10"/>
      <c r="C72" s="10"/>
      <c r="D72" s="40"/>
      <c r="E72" s="40"/>
      <c r="F72" s="40"/>
      <c r="G72" s="10"/>
      <c r="H72" s="10"/>
      <c r="I72" s="10"/>
      <c r="J72" s="40"/>
    </row>
    <row r="88" spans="2:9" x14ac:dyDescent="0.25">
      <c r="B88" s="375">
        <v>42516</v>
      </c>
      <c r="C88" s="376">
        <v>20</v>
      </c>
      <c r="D88" s="377">
        <v>96.2</v>
      </c>
      <c r="E88" s="377">
        <v>97</v>
      </c>
      <c r="F88" s="377">
        <f t="shared" ref="F88:F96" si="55">C88*(E88-D88)</f>
        <v>15.999999999999943</v>
      </c>
      <c r="G88" s="377">
        <f t="shared" ref="G88:G96" si="56">D88*C88</f>
        <v>1924</v>
      </c>
      <c r="H88" s="378">
        <f t="shared" ref="H88:H96" si="57">(E88-D88)/D88</f>
        <v>8.316008316008287E-3</v>
      </c>
      <c r="I88" s="378"/>
    </row>
    <row r="89" spans="2:9" x14ac:dyDescent="0.25">
      <c r="B89" s="375">
        <v>42522</v>
      </c>
      <c r="C89" s="376">
        <v>20</v>
      </c>
      <c r="D89" s="377">
        <v>96.2</v>
      </c>
      <c r="E89" s="377">
        <v>98.73</v>
      </c>
      <c r="F89" s="377">
        <f t="shared" si="55"/>
        <v>50.600000000000023</v>
      </c>
      <c r="G89" s="377">
        <f t="shared" si="56"/>
        <v>1924</v>
      </c>
      <c r="H89" s="378">
        <f t="shared" si="57"/>
        <v>2.6299376299376311E-2</v>
      </c>
      <c r="I89" s="378"/>
    </row>
    <row r="90" spans="2:9" x14ac:dyDescent="0.25">
      <c r="B90" s="375">
        <v>42527</v>
      </c>
      <c r="C90" s="376">
        <v>45</v>
      </c>
      <c r="D90" s="377">
        <v>90.305599999999998</v>
      </c>
      <c r="E90" s="377">
        <v>86.39</v>
      </c>
      <c r="F90" s="377">
        <f t="shared" si="55"/>
        <v>-176.20199999999988</v>
      </c>
      <c r="G90" s="377">
        <f t="shared" si="56"/>
        <v>4063.752</v>
      </c>
      <c r="H90" s="378">
        <f t="shared" si="57"/>
        <v>-4.3359437288495929E-2</v>
      </c>
      <c r="I90" s="379"/>
    </row>
    <row r="91" spans="2:9" x14ac:dyDescent="0.25">
      <c r="B91" s="375">
        <v>42529</v>
      </c>
      <c r="C91" s="376">
        <v>25</v>
      </c>
      <c r="D91" s="377">
        <v>91.3596</v>
      </c>
      <c r="E91" s="377">
        <v>89.31</v>
      </c>
      <c r="F91" s="377">
        <f t="shared" si="55"/>
        <v>-51.239999999999952</v>
      </c>
      <c r="G91" s="377">
        <f t="shared" si="56"/>
        <v>2283.9899999999998</v>
      </c>
      <c r="H91" s="378">
        <f t="shared" si="57"/>
        <v>-2.2434423968581276E-2</v>
      </c>
      <c r="I91" s="378"/>
    </row>
    <row r="92" spans="2:9" x14ac:dyDescent="0.25">
      <c r="B92" s="375">
        <v>42534</v>
      </c>
      <c r="C92" s="376">
        <v>25</v>
      </c>
      <c r="D92" s="377">
        <v>91.3596</v>
      </c>
      <c r="E92" s="377">
        <v>85.51</v>
      </c>
      <c r="F92" s="377">
        <f t="shared" si="55"/>
        <v>-146.2399999999999</v>
      </c>
      <c r="G92" s="377">
        <f t="shared" si="56"/>
        <v>2283.9899999999998</v>
      </c>
      <c r="H92" s="378">
        <f t="shared" si="57"/>
        <v>-6.402830134983073E-2</v>
      </c>
      <c r="I92" s="378"/>
    </row>
    <row r="93" spans="2:9" x14ac:dyDescent="0.25">
      <c r="B93" s="375">
        <v>42535</v>
      </c>
      <c r="C93" s="376">
        <v>50</v>
      </c>
      <c r="D93" s="377">
        <v>87.0548</v>
      </c>
      <c r="E93" s="377">
        <v>83.87</v>
      </c>
      <c r="F93" s="377">
        <f t="shared" si="55"/>
        <v>-159.23999999999978</v>
      </c>
      <c r="G93" s="377">
        <f t="shared" si="56"/>
        <v>4352.74</v>
      </c>
      <c r="H93" s="378">
        <f t="shared" si="57"/>
        <v>-3.6583852929419118E-2</v>
      </c>
      <c r="I93" s="378"/>
    </row>
    <row r="94" spans="2:9" x14ac:dyDescent="0.25">
      <c r="B94" s="375">
        <v>42541</v>
      </c>
      <c r="C94" s="376">
        <v>25</v>
      </c>
      <c r="D94" s="377">
        <v>87.521600000000007</v>
      </c>
      <c r="E94" s="377">
        <v>86.01</v>
      </c>
      <c r="F94" s="377">
        <f t="shared" si="55"/>
        <v>-37.790000000000035</v>
      </c>
      <c r="G94" s="377">
        <f t="shared" si="56"/>
        <v>2188.04</v>
      </c>
      <c r="H94" s="378">
        <f t="shared" si="57"/>
        <v>-1.7271165060967823E-2</v>
      </c>
      <c r="I94" s="378"/>
    </row>
    <row r="95" spans="2:9" x14ac:dyDescent="0.25">
      <c r="B95" s="375">
        <v>42546</v>
      </c>
      <c r="C95" s="376">
        <v>25</v>
      </c>
      <c r="D95" s="377">
        <v>87.521600000000007</v>
      </c>
      <c r="E95" s="377">
        <v>82.02</v>
      </c>
      <c r="F95" s="377">
        <f t="shared" si="55"/>
        <v>-137.54000000000025</v>
      </c>
      <c r="G95" s="377">
        <f t="shared" si="56"/>
        <v>2188.04</v>
      </c>
      <c r="H95" s="378">
        <f t="shared" si="57"/>
        <v>-6.285991115336112E-2</v>
      </c>
      <c r="I95" s="378"/>
    </row>
    <row r="96" spans="2:9" x14ac:dyDescent="0.25">
      <c r="B96" s="375">
        <v>42548</v>
      </c>
      <c r="C96" s="376">
        <v>75</v>
      </c>
      <c r="D96" s="377">
        <v>81.493899999999996</v>
      </c>
      <c r="E96" s="377">
        <v>79.260000000000005</v>
      </c>
      <c r="F96" s="377">
        <f t="shared" si="55"/>
        <v>-167.54249999999934</v>
      </c>
      <c r="G96" s="377">
        <f t="shared" si="56"/>
        <v>6112.0424999999996</v>
      </c>
      <c r="H96" s="378">
        <f t="shared" si="57"/>
        <v>-2.7411867636718715E-2</v>
      </c>
      <c r="I96" s="378"/>
    </row>
    <row r="97" spans="2:9" x14ac:dyDescent="0.25">
      <c r="B97" s="375">
        <v>42549</v>
      </c>
      <c r="C97" s="376">
        <v>75</v>
      </c>
      <c r="D97" s="377">
        <v>81.493899999999996</v>
      </c>
      <c r="E97" s="377">
        <v>80.72</v>
      </c>
      <c r="F97" s="377">
        <f t="shared" ref="F97:F109" si="58">C97*(E97-D97)</f>
        <v>-58.042499999999819</v>
      </c>
      <c r="G97" s="377">
        <f t="shared" ref="G97:G109" si="59">D97*C97</f>
        <v>6112.0424999999996</v>
      </c>
      <c r="H97" s="378">
        <f t="shared" ref="H97:H109" si="60">(E97-D97)/D97</f>
        <v>-9.4964162961890114E-3</v>
      </c>
      <c r="I97" s="378"/>
    </row>
    <row r="98" spans="2:9" x14ac:dyDescent="0.25">
      <c r="B98" s="375">
        <v>42552</v>
      </c>
      <c r="C98" s="376">
        <v>55</v>
      </c>
      <c r="D98" s="377">
        <v>80.590500000000006</v>
      </c>
      <c r="E98" s="377">
        <v>84.15</v>
      </c>
      <c r="F98" s="377">
        <f t="shared" si="58"/>
        <v>195.77249999999998</v>
      </c>
      <c r="G98" s="377">
        <f t="shared" si="59"/>
        <v>4432.4775</v>
      </c>
      <c r="H98" s="378">
        <f t="shared" si="60"/>
        <v>4.4167736892065435E-2</v>
      </c>
      <c r="I98" s="378"/>
    </row>
    <row r="99" spans="2:9" x14ac:dyDescent="0.25">
      <c r="B99" s="375">
        <v>42556</v>
      </c>
      <c r="C99" s="376">
        <v>55</v>
      </c>
      <c r="D99" s="377">
        <v>80.590500000000006</v>
      </c>
      <c r="E99" s="377">
        <v>81.290000000000006</v>
      </c>
      <c r="F99" s="377">
        <f t="shared" si="58"/>
        <v>38.472500000000025</v>
      </c>
      <c r="G99" s="377">
        <f t="shared" si="59"/>
        <v>4432.4775</v>
      </c>
      <c r="H99" s="378">
        <f t="shared" si="60"/>
        <v>8.6796830891978632E-3</v>
      </c>
      <c r="I99" s="378"/>
    </row>
    <row r="100" spans="2:9" x14ac:dyDescent="0.25">
      <c r="B100" s="375">
        <v>42563</v>
      </c>
      <c r="C100" s="376">
        <v>55</v>
      </c>
      <c r="D100" s="377">
        <v>80.590500000000006</v>
      </c>
      <c r="E100" s="377">
        <v>89.07</v>
      </c>
      <c r="F100" s="377">
        <f t="shared" si="58"/>
        <v>466.37249999999932</v>
      </c>
      <c r="G100" s="377">
        <f t="shared" si="59"/>
        <v>4432.4775</v>
      </c>
      <c r="H100" s="378">
        <f t="shared" si="60"/>
        <v>0.10521711616133399</v>
      </c>
      <c r="I100" s="378"/>
    </row>
    <row r="101" spans="2:9" x14ac:dyDescent="0.25">
      <c r="B101" s="375">
        <v>42566</v>
      </c>
      <c r="C101" s="376">
        <v>55</v>
      </c>
      <c r="D101" s="377">
        <v>80.590500000000006</v>
      </c>
      <c r="E101" s="377">
        <v>90.34</v>
      </c>
      <c r="F101" s="377">
        <f t="shared" si="58"/>
        <v>536.22249999999985</v>
      </c>
      <c r="G101" s="377">
        <f t="shared" si="59"/>
        <v>4432.4775</v>
      </c>
      <c r="H101" s="378">
        <f t="shared" si="60"/>
        <v>0.12097579739547462</v>
      </c>
      <c r="I101" s="378"/>
    </row>
    <row r="102" spans="2:9" x14ac:dyDescent="0.25">
      <c r="B102" s="375">
        <v>42569</v>
      </c>
      <c r="C102" s="376">
        <v>50</v>
      </c>
      <c r="D102" s="377">
        <v>79.449799999999996</v>
      </c>
      <c r="E102" s="377">
        <v>92.26</v>
      </c>
      <c r="F102" s="377">
        <f t="shared" si="58"/>
        <v>640.51000000000045</v>
      </c>
      <c r="G102" s="377">
        <f t="shared" si="59"/>
        <v>3972.49</v>
      </c>
      <c r="H102" s="378">
        <f t="shared" si="60"/>
        <v>0.16123640336413697</v>
      </c>
      <c r="I102" s="378"/>
    </row>
    <row r="103" spans="2:9" x14ac:dyDescent="0.25">
      <c r="B103" s="375">
        <v>42570</v>
      </c>
      <c r="C103" s="376">
        <v>50</v>
      </c>
      <c r="D103" s="377">
        <v>79.449799999999996</v>
      </c>
      <c r="E103" s="377">
        <v>90.39</v>
      </c>
      <c r="F103" s="377">
        <f t="shared" si="58"/>
        <v>547.01000000000022</v>
      </c>
      <c r="G103" s="377">
        <f t="shared" si="59"/>
        <v>3972.49</v>
      </c>
      <c r="H103" s="378">
        <f t="shared" si="60"/>
        <v>0.13769952850730907</v>
      </c>
      <c r="I103" s="378"/>
    </row>
    <row r="104" spans="2:9" x14ac:dyDescent="0.25">
      <c r="B104" s="375">
        <v>42571</v>
      </c>
      <c r="C104" s="376">
        <v>50</v>
      </c>
      <c r="D104" s="377">
        <v>79.449799999999996</v>
      </c>
      <c r="E104" s="377">
        <v>89.55</v>
      </c>
      <c r="F104" s="377">
        <f t="shared" si="58"/>
        <v>505.01000000000005</v>
      </c>
      <c r="G104" s="377">
        <f t="shared" si="59"/>
        <v>3972.49</v>
      </c>
      <c r="H104" s="378">
        <f t="shared" si="60"/>
        <v>0.12712681466787834</v>
      </c>
      <c r="I104" s="378"/>
    </row>
    <row r="105" spans="2:9" x14ac:dyDescent="0.25">
      <c r="B105" s="375">
        <v>42572</v>
      </c>
      <c r="C105" s="376">
        <v>50</v>
      </c>
      <c r="D105" s="377">
        <v>79.449799999999996</v>
      </c>
      <c r="E105" s="377">
        <v>87.46</v>
      </c>
      <c r="F105" s="377">
        <f t="shared" si="58"/>
        <v>400.50999999999988</v>
      </c>
      <c r="G105" s="377">
        <f t="shared" si="59"/>
        <v>3972.49</v>
      </c>
      <c r="H105" s="378">
        <f t="shared" si="60"/>
        <v>0.1008208957102472</v>
      </c>
      <c r="I105" s="378"/>
    </row>
    <row r="106" spans="2:9" x14ac:dyDescent="0.25">
      <c r="B106" s="375">
        <v>42575</v>
      </c>
      <c r="C106" s="376">
        <v>50</v>
      </c>
      <c r="D106" s="377">
        <v>79.449799999999996</v>
      </c>
      <c r="E106" s="377">
        <v>89.53</v>
      </c>
      <c r="F106" s="377">
        <f t="shared" si="58"/>
        <v>504.01000000000022</v>
      </c>
      <c r="G106" s="377">
        <f t="shared" si="59"/>
        <v>3972.49</v>
      </c>
      <c r="H106" s="378">
        <f t="shared" si="60"/>
        <v>0.12687508338598719</v>
      </c>
      <c r="I106" s="378"/>
    </row>
    <row r="107" spans="2:9" x14ac:dyDescent="0.25">
      <c r="B107" s="375">
        <v>42576</v>
      </c>
      <c r="C107" s="376">
        <v>50</v>
      </c>
      <c r="D107" s="377">
        <v>79.449799999999996</v>
      </c>
      <c r="E107" s="377">
        <v>88.86</v>
      </c>
      <c r="F107" s="377">
        <f t="shared" si="58"/>
        <v>470.51000000000016</v>
      </c>
      <c r="G107" s="377">
        <f t="shared" si="59"/>
        <v>3972.49</v>
      </c>
      <c r="H107" s="378">
        <f t="shared" si="60"/>
        <v>0.11844208544263174</v>
      </c>
      <c r="I107" s="378"/>
    </row>
    <row r="108" spans="2:9" x14ac:dyDescent="0.25">
      <c r="B108" s="375">
        <v>42577</v>
      </c>
      <c r="C108" s="376">
        <v>50</v>
      </c>
      <c r="D108" s="377">
        <v>79.449799999999996</v>
      </c>
      <c r="E108" s="377">
        <v>89.46</v>
      </c>
      <c r="F108" s="377">
        <f t="shared" si="58"/>
        <v>500.50999999999988</v>
      </c>
      <c r="G108" s="377">
        <f t="shared" si="59"/>
        <v>3972.49</v>
      </c>
      <c r="H108" s="378">
        <f t="shared" si="60"/>
        <v>0.12599402389936787</v>
      </c>
      <c r="I108" s="378"/>
    </row>
    <row r="109" spans="2:9" x14ac:dyDescent="0.25">
      <c r="B109" s="375">
        <v>42580</v>
      </c>
      <c r="C109" s="376">
        <v>30</v>
      </c>
      <c r="D109" s="377">
        <v>73.937700000000007</v>
      </c>
      <c r="E109" s="377">
        <v>87.72</v>
      </c>
      <c r="F109" s="377">
        <f t="shared" si="58"/>
        <v>413.46899999999977</v>
      </c>
      <c r="G109" s="377">
        <f t="shared" si="59"/>
        <v>2218.1310000000003</v>
      </c>
      <c r="H109" s="378">
        <f t="shared" si="60"/>
        <v>0.18640422950673324</v>
      </c>
      <c r="I109" s="378"/>
    </row>
    <row r="110" spans="2:9" x14ac:dyDescent="0.25">
      <c r="B110" s="375">
        <v>42580</v>
      </c>
      <c r="C110" s="376">
        <v>0</v>
      </c>
      <c r="D110" s="377"/>
      <c r="E110" s="377"/>
      <c r="F110" s="377">
        <v>420.99</v>
      </c>
      <c r="G110" s="377"/>
      <c r="H110" s="378"/>
      <c r="I110" s="378"/>
    </row>
    <row r="111" spans="2:9" x14ac:dyDescent="0.25">
      <c r="B111" s="376"/>
      <c r="C111" s="376"/>
      <c r="D111" s="377"/>
      <c r="E111" s="377"/>
      <c r="F111" s="377"/>
      <c r="G111" s="376"/>
      <c r="H111" s="376"/>
      <c r="I111" s="376"/>
    </row>
    <row r="112" spans="2:9" x14ac:dyDescent="0.25">
      <c r="B112" s="508" t="s">
        <v>113</v>
      </c>
      <c r="C112" s="508" t="s">
        <v>146</v>
      </c>
      <c r="D112" s="509" t="s">
        <v>145</v>
      </c>
      <c r="E112" s="510" t="s">
        <v>147</v>
      </c>
      <c r="F112" s="511" t="s">
        <v>65</v>
      </c>
      <c r="G112" s="512" t="s">
        <v>151</v>
      </c>
      <c r="H112" s="511" t="s">
        <v>88</v>
      </c>
      <c r="I112" s="511" t="s">
        <v>154</v>
      </c>
    </row>
    <row r="113" spans="2:9" x14ac:dyDescent="0.25">
      <c r="B113" s="375">
        <v>42608</v>
      </c>
      <c r="C113" s="376">
        <v>25</v>
      </c>
      <c r="D113" s="377">
        <v>78.95</v>
      </c>
      <c r="E113" s="377">
        <v>80.650000000000006</v>
      </c>
      <c r="F113" s="377">
        <f t="shared" ref="F113:F129" si="61">C113*(E113-D113)</f>
        <v>42.500000000000071</v>
      </c>
      <c r="G113" s="377">
        <f t="shared" ref="G113:G129" si="62">D113*C113</f>
        <v>1973.75</v>
      </c>
      <c r="H113" s="378">
        <f t="shared" ref="H113:H129" si="63">(E113-D113)/D113</f>
        <v>2.1532615579480718E-2</v>
      </c>
      <c r="I113" s="378"/>
    </row>
    <row r="114" spans="2:9" x14ac:dyDescent="0.25">
      <c r="B114" s="375">
        <v>42609</v>
      </c>
      <c r="C114" s="376">
        <v>25</v>
      </c>
      <c r="D114" s="377">
        <v>78.95</v>
      </c>
      <c r="E114" s="377">
        <v>80.180000000000007</v>
      </c>
      <c r="F114" s="377">
        <f t="shared" si="61"/>
        <v>30.750000000000099</v>
      </c>
      <c r="G114" s="377">
        <f t="shared" si="62"/>
        <v>1973.75</v>
      </c>
      <c r="H114" s="378">
        <f t="shared" si="63"/>
        <v>1.5579480683977251E-2</v>
      </c>
      <c r="I114" s="378"/>
    </row>
    <row r="115" spans="2:9" x14ac:dyDescent="0.25">
      <c r="B115" s="375">
        <v>42613</v>
      </c>
      <c r="C115" s="376">
        <v>25</v>
      </c>
      <c r="D115" s="377">
        <v>78.95</v>
      </c>
      <c r="E115" s="377">
        <v>81.98</v>
      </c>
      <c r="F115" s="377">
        <f t="shared" si="61"/>
        <v>75.750000000000028</v>
      </c>
      <c r="G115" s="377">
        <f t="shared" si="62"/>
        <v>1973.75</v>
      </c>
      <c r="H115" s="378">
        <f t="shared" si="63"/>
        <v>3.8378720709309699E-2</v>
      </c>
      <c r="I115" s="378"/>
    </row>
    <row r="116" spans="2:9" x14ac:dyDescent="0.25">
      <c r="B116" s="375">
        <v>42619</v>
      </c>
      <c r="C116" s="376">
        <v>25</v>
      </c>
      <c r="D116" s="377">
        <v>78.95</v>
      </c>
      <c r="E116" s="377">
        <v>81.099999999999994</v>
      </c>
      <c r="F116" s="377">
        <f t="shared" si="61"/>
        <v>53.749999999999787</v>
      </c>
      <c r="G116" s="377">
        <f t="shared" si="62"/>
        <v>1973.75</v>
      </c>
      <c r="H116" s="378">
        <f t="shared" si="63"/>
        <v>2.7232425585813697E-2</v>
      </c>
      <c r="I116" s="378"/>
    </row>
    <row r="117" spans="2:9" x14ac:dyDescent="0.25">
      <c r="B117" s="375">
        <v>42620</v>
      </c>
      <c r="C117" s="376">
        <v>25</v>
      </c>
      <c r="D117" s="377">
        <v>78.95</v>
      </c>
      <c r="E117" s="377">
        <v>82.48</v>
      </c>
      <c r="F117" s="377">
        <f t="shared" si="61"/>
        <v>88.250000000000028</v>
      </c>
      <c r="G117" s="377">
        <f t="shared" si="62"/>
        <v>1973.75</v>
      </c>
      <c r="H117" s="378">
        <f t="shared" si="63"/>
        <v>4.4711842938568724E-2</v>
      </c>
      <c r="I117" s="378"/>
    </row>
    <row r="118" spans="2:9" x14ac:dyDescent="0.25">
      <c r="B118" s="375">
        <v>42621</v>
      </c>
      <c r="C118" s="376">
        <v>25</v>
      </c>
      <c r="D118" s="377">
        <v>78.95</v>
      </c>
      <c r="E118" s="377">
        <v>81.77</v>
      </c>
      <c r="F118" s="377">
        <f t="shared" si="61"/>
        <v>70.499999999999829</v>
      </c>
      <c r="G118" s="377">
        <f t="shared" si="62"/>
        <v>1973.75</v>
      </c>
      <c r="H118" s="378">
        <f t="shared" si="63"/>
        <v>3.5718809373020813E-2</v>
      </c>
      <c r="I118" s="378"/>
    </row>
    <row r="119" spans="2:9" x14ac:dyDescent="0.25">
      <c r="B119" s="375">
        <v>42622</v>
      </c>
      <c r="C119" s="376">
        <v>25</v>
      </c>
      <c r="D119" s="377">
        <v>78.95</v>
      </c>
      <c r="E119" s="377">
        <v>76.900000000000006</v>
      </c>
      <c r="F119" s="377">
        <f t="shared" si="61"/>
        <v>-51.249999999999929</v>
      </c>
      <c r="G119" s="377">
        <f t="shared" si="62"/>
        <v>1973.75</v>
      </c>
      <c r="H119" s="378">
        <f t="shared" si="63"/>
        <v>-2.5965801139961966E-2</v>
      </c>
      <c r="I119" s="378"/>
    </row>
    <row r="120" spans="2:9" x14ac:dyDescent="0.25">
      <c r="B120" s="375">
        <v>42629</v>
      </c>
      <c r="C120" s="376">
        <v>25</v>
      </c>
      <c r="D120" s="377">
        <v>78.95</v>
      </c>
      <c r="E120" s="377">
        <v>77.77</v>
      </c>
      <c r="F120" s="377">
        <f t="shared" si="61"/>
        <v>-29.500000000000171</v>
      </c>
      <c r="G120" s="377">
        <f t="shared" si="62"/>
        <v>1973.75</v>
      </c>
      <c r="H120" s="378">
        <f t="shared" si="63"/>
        <v>-1.4946168461051384E-2</v>
      </c>
      <c r="I120" s="378"/>
    </row>
    <row r="121" spans="2:9" x14ac:dyDescent="0.25">
      <c r="B121" s="375">
        <v>42633</v>
      </c>
      <c r="C121" s="376">
        <v>25</v>
      </c>
      <c r="D121" s="377">
        <v>78.95</v>
      </c>
      <c r="E121" s="377">
        <v>75.52</v>
      </c>
      <c r="F121" s="377">
        <f t="shared" si="61"/>
        <v>-85.750000000000171</v>
      </c>
      <c r="G121" s="377">
        <f t="shared" si="62"/>
        <v>1973.75</v>
      </c>
      <c r="H121" s="378">
        <f t="shared" si="63"/>
        <v>-4.3445218492716993E-2</v>
      </c>
      <c r="I121" s="378"/>
    </row>
    <row r="122" spans="2:9" x14ac:dyDescent="0.25">
      <c r="B122" s="375">
        <v>42635</v>
      </c>
      <c r="C122" s="376">
        <v>25</v>
      </c>
      <c r="D122" s="377">
        <v>78.95</v>
      </c>
      <c r="E122" s="377">
        <v>77.27</v>
      </c>
      <c r="F122" s="377">
        <f t="shared" si="61"/>
        <v>-42.000000000000171</v>
      </c>
      <c r="G122" s="377">
        <f t="shared" si="62"/>
        <v>1973.75</v>
      </c>
      <c r="H122" s="378">
        <f t="shared" si="63"/>
        <v>-2.1279290690310409E-2</v>
      </c>
      <c r="I122" s="378"/>
    </row>
    <row r="123" spans="2:9" x14ac:dyDescent="0.25">
      <c r="B123" s="375">
        <v>42636</v>
      </c>
      <c r="C123" s="376">
        <v>25</v>
      </c>
      <c r="D123" s="377">
        <v>78.95</v>
      </c>
      <c r="E123" s="377">
        <v>78.97</v>
      </c>
      <c r="F123" s="377">
        <f t="shared" si="61"/>
        <v>0.49999999999990052</v>
      </c>
      <c r="G123" s="377">
        <f t="shared" si="62"/>
        <v>1973.75</v>
      </c>
      <c r="H123" s="378">
        <f t="shared" si="63"/>
        <v>2.533248891703106E-4</v>
      </c>
      <c r="I123" s="378"/>
    </row>
    <row r="124" spans="2:9" x14ac:dyDescent="0.25">
      <c r="B124" s="375">
        <v>42639</v>
      </c>
      <c r="C124" s="376">
        <v>55</v>
      </c>
      <c r="D124" s="377">
        <v>76.400000000000006</v>
      </c>
      <c r="E124" s="377">
        <v>76.31</v>
      </c>
      <c r="F124" s="377">
        <f t="shared" si="61"/>
        <v>-4.9500000000001876</v>
      </c>
      <c r="G124" s="377">
        <f t="shared" si="62"/>
        <v>4202</v>
      </c>
      <c r="H124" s="378">
        <f t="shared" si="63"/>
        <v>-1.1780104712042331E-3</v>
      </c>
      <c r="I124" s="378"/>
    </row>
    <row r="125" spans="2:9" x14ac:dyDescent="0.25">
      <c r="B125" s="375">
        <v>42643</v>
      </c>
      <c r="C125" s="376">
        <v>55</v>
      </c>
      <c r="D125" s="377">
        <v>76.402699999999996</v>
      </c>
      <c r="E125" s="377">
        <v>74.53</v>
      </c>
      <c r="F125" s="377">
        <f t="shared" si="61"/>
        <v>-102.99849999999971</v>
      </c>
      <c r="G125" s="377">
        <f t="shared" si="62"/>
        <v>4202.1484999999993</v>
      </c>
      <c r="H125" s="378">
        <f t="shared" si="63"/>
        <v>-2.4510913881315644E-2</v>
      </c>
      <c r="I125" s="378"/>
    </row>
    <row r="126" spans="2:9" x14ac:dyDescent="0.25">
      <c r="B126" s="375">
        <v>42646</v>
      </c>
      <c r="C126" s="376">
        <v>55</v>
      </c>
      <c r="D126" s="377">
        <v>76.402699999999996</v>
      </c>
      <c r="E126" s="377">
        <v>75.72</v>
      </c>
      <c r="F126" s="377">
        <f t="shared" si="61"/>
        <v>-37.548499999999834</v>
      </c>
      <c r="G126" s="377">
        <f t="shared" si="62"/>
        <v>4202.1484999999993</v>
      </c>
      <c r="H126" s="378">
        <f t="shared" si="63"/>
        <v>-8.9355480892690572E-3</v>
      </c>
      <c r="I126" s="378"/>
    </row>
    <row r="127" spans="2:9" x14ac:dyDescent="0.25">
      <c r="B127" s="375">
        <v>42647</v>
      </c>
      <c r="C127" s="376">
        <v>55</v>
      </c>
      <c r="D127" s="377">
        <v>76.402699999999996</v>
      </c>
      <c r="E127" s="377">
        <v>77.819999999999993</v>
      </c>
      <c r="F127" s="377">
        <f t="shared" si="61"/>
        <v>77.951499999999854</v>
      </c>
      <c r="G127" s="377">
        <f t="shared" si="62"/>
        <v>4202.1484999999993</v>
      </c>
      <c r="H127" s="378">
        <f t="shared" si="63"/>
        <v>1.8550391543754308E-2</v>
      </c>
      <c r="I127" s="378"/>
    </row>
    <row r="128" spans="2:9" x14ac:dyDescent="0.25">
      <c r="B128" s="375">
        <v>42648</v>
      </c>
      <c r="C128" s="376">
        <v>30</v>
      </c>
      <c r="D128" s="377">
        <v>74.272999999999996</v>
      </c>
      <c r="E128" s="377">
        <v>81.430000000000007</v>
      </c>
      <c r="F128" s="377">
        <f t="shared" si="61"/>
        <v>214.71000000000032</v>
      </c>
      <c r="G128" s="377">
        <f t="shared" si="62"/>
        <v>2228.19</v>
      </c>
      <c r="H128" s="378">
        <f t="shared" si="63"/>
        <v>9.6360723277638047E-2</v>
      </c>
      <c r="I128" s="378"/>
    </row>
    <row r="129" spans="1:13" x14ac:dyDescent="0.25">
      <c r="B129" s="375">
        <v>42649</v>
      </c>
      <c r="C129" s="376">
        <v>30</v>
      </c>
      <c r="D129" s="377">
        <v>74.272999999999996</v>
      </c>
      <c r="E129" s="377">
        <v>80.069999999999993</v>
      </c>
      <c r="F129" s="377">
        <f t="shared" si="61"/>
        <v>173.90999999999991</v>
      </c>
      <c r="G129" s="377">
        <f t="shared" si="62"/>
        <v>2228.19</v>
      </c>
      <c r="H129" s="378">
        <f t="shared" si="63"/>
        <v>7.8049897001602156E-2</v>
      </c>
      <c r="I129" s="378"/>
    </row>
    <row r="130" spans="1:13" x14ac:dyDescent="0.25">
      <c r="B130" s="375">
        <v>42671</v>
      </c>
      <c r="C130" s="376">
        <v>0</v>
      </c>
      <c r="D130" s="377"/>
      <c r="E130" s="377"/>
      <c r="F130" s="377">
        <v>234.16</v>
      </c>
      <c r="G130" s="377"/>
      <c r="H130" s="378"/>
      <c r="I130" s="378"/>
    </row>
    <row r="131" spans="1:13" x14ac:dyDescent="0.25">
      <c r="B131" s="375"/>
      <c r="C131" s="376"/>
      <c r="D131" s="377"/>
      <c r="E131" s="377"/>
      <c r="F131" s="377"/>
      <c r="G131" s="377"/>
      <c r="H131" s="378"/>
      <c r="I131" s="378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60" t="s">
        <v>1</v>
      </c>
      <c r="B133" s="260" t="s">
        <v>2</v>
      </c>
      <c r="C133" s="260" t="s">
        <v>4</v>
      </c>
      <c r="D133" s="261" t="s">
        <v>5</v>
      </c>
      <c r="E133" s="261" t="s">
        <v>94</v>
      </c>
      <c r="F133" s="261" t="s">
        <v>60</v>
      </c>
      <c r="G133" s="260" t="s">
        <v>3</v>
      </c>
      <c r="H133" s="260" t="s">
        <v>6</v>
      </c>
      <c r="I133" s="260" t="s">
        <v>7</v>
      </c>
      <c r="J133" s="260" t="s">
        <v>95</v>
      </c>
      <c r="K133" s="261" t="s">
        <v>61</v>
      </c>
      <c r="L133" s="260" t="s">
        <v>77</v>
      </c>
      <c r="M133" s="260" t="s">
        <v>38</v>
      </c>
    </row>
    <row r="134" spans="1:13" x14ac:dyDescent="0.25">
      <c r="A134" s="262" t="s">
        <v>216</v>
      </c>
      <c r="B134" s="263">
        <v>42516</v>
      </c>
      <c r="C134" s="258">
        <v>20</v>
      </c>
      <c r="D134" s="259">
        <v>96.2</v>
      </c>
      <c r="E134" s="259">
        <v>0</v>
      </c>
      <c r="F134" s="259">
        <f t="shared" ref="F134:F139" si="64">C134*D134 + E134</f>
        <v>1924</v>
      </c>
      <c r="G134" s="263">
        <v>42516</v>
      </c>
      <c r="H134" s="258">
        <v>20</v>
      </c>
      <c r="I134" s="259">
        <v>88.99</v>
      </c>
      <c r="J134" s="259">
        <v>0.04</v>
      </c>
      <c r="K134" s="259">
        <f t="shared" ref="K134:K139" si="65">H134*I134 - J134</f>
        <v>1779.76</v>
      </c>
      <c r="L134" s="263">
        <v>42608</v>
      </c>
      <c r="M134" s="258">
        <v>13</v>
      </c>
    </row>
    <row r="135" spans="1:13" x14ac:dyDescent="0.25">
      <c r="A135" s="265" t="s">
        <v>71</v>
      </c>
      <c r="B135" s="458">
        <v>42527</v>
      </c>
      <c r="C135" s="258">
        <v>25</v>
      </c>
      <c r="D135" s="259">
        <v>85.59</v>
      </c>
      <c r="E135" s="259">
        <v>0</v>
      </c>
      <c r="F135" s="259">
        <f t="shared" si="64"/>
        <v>2139.75</v>
      </c>
      <c r="G135" s="263">
        <v>42541</v>
      </c>
      <c r="H135" s="264">
        <v>25</v>
      </c>
      <c r="I135" s="259">
        <v>86.59</v>
      </c>
      <c r="J135" s="259">
        <v>0.05</v>
      </c>
      <c r="K135" s="259">
        <f t="shared" si="65"/>
        <v>2164.6999999999998</v>
      </c>
      <c r="L135" s="263">
        <v>42702</v>
      </c>
      <c r="M135" s="258">
        <v>7.8</v>
      </c>
    </row>
    <row r="136" spans="1:13" x14ac:dyDescent="0.25">
      <c r="A136" s="258"/>
      <c r="B136" s="458">
        <v>42535</v>
      </c>
      <c r="C136" s="258">
        <v>20</v>
      </c>
      <c r="D136" s="259">
        <v>82.75</v>
      </c>
      <c r="E136" s="259">
        <v>0</v>
      </c>
      <c r="F136" s="259">
        <f t="shared" si="64"/>
        <v>1655</v>
      </c>
      <c r="G136" s="263">
        <v>42552</v>
      </c>
      <c r="H136" s="264">
        <v>20</v>
      </c>
      <c r="I136" s="259">
        <v>83.98</v>
      </c>
      <c r="J136" s="259">
        <v>0.04</v>
      </c>
      <c r="K136" s="259">
        <f t="shared" si="65"/>
        <v>1679.5600000000002</v>
      </c>
      <c r="L136" s="258"/>
      <c r="M136" s="258"/>
    </row>
    <row r="137" spans="1:13" x14ac:dyDescent="0.25">
      <c r="A137" s="258"/>
      <c r="B137" s="263">
        <v>42535</v>
      </c>
      <c r="C137" s="258">
        <v>5</v>
      </c>
      <c r="D137" s="259">
        <v>82.75</v>
      </c>
      <c r="E137" s="259">
        <v>0</v>
      </c>
      <c r="F137" s="259">
        <f t="shared" si="64"/>
        <v>413.75</v>
      </c>
      <c r="G137" s="263">
        <v>42569</v>
      </c>
      <c r="H137" s="264">
        <v>5</v>
      </c>
      <c r="I137" s="259">
        <v>92</v>
      </c>
      <c r="J137" s="259">
        <v>0.01</v>
      </c>
      <c r="K137" s="259">
        <f t="shared" si="65"/>
        <v>459.99</v>
      </c>
      <c r="L137" s="258"/>
      <c r="M137" s="258"/>
    </row>
    <row r="138" spans="1:13" x14ac:dyDescent="0.25">
      <c r="A138" s="258"/>
      <c r="B138" s="263">
        <v>42548</v>
      </c>
      <c r="C138" s="258">
        <v>20</v>
      </c>
      <c r="D138" s="259">
        <v>78.48</v>
      </c>
      <c r="E138" s="259">
        <v>0</v>
      </c>
      <c r="F138" s="259">
        <f t="shared" si="64"/>
        <v>1569.6000000000001</v>
      </c>
      <c r="G138" s="263">
        <v>42580</v>
      </c>
      <c r="H138" s="264">
        <v>20</v>
      </c>
      <c r="I138" s="259">
        <v>87.72</v>
      </c>
      <c r="J138" s="259">
        <v>0.04</v>
      </c>
      <c r="K138" s="259">
        <f t="shared" si="65"/>
        <v>1754.3600000000001</v>
      </c>
      <c r="L138" s="258"/>
      <c r="M138" s="258"/>
    </row>
    <row r="139" spans="1:13" x14ac:dyDescent="0.25">
      <c r="A139" s="258"/>
      <c r="B139" s="263">
        <v>42548</v>
      </c>
      <c r="C139" s="258">
        <v>30</v>
      </c>
      <c r="D139" s="259">
        <v>78.48</v>
      </c>
      <c r="E139" s="259">
        <v>0</v>
      </c>
      <c r="F139" s="259">
        <f t="shared" si="64"/>
        <v>2354.4</v>
      </c>
      <c r="G139" s="263">
        <v>42580</v>
      </c>
      <c r="H139" s="264">
        <v>30</v>
      </c>
      <c r="I139" s="259">
        <v>87.97</v>
      </c>
      <c r="J139" s="259">
        <v>-0.02</v>
      </c>
      <c r="K139" s="259">
        <f t="shared" si="65"/>
        <v>2639.12</v>
      </c>
      <c r="L139" s="258"/>
      <c r="M139" s="258"/>
    </row>
    <row r="140" spans="1:13" x14ac:dyDescent="0.25">
      <c r="A140" s="258"/>
      <c r="B140" s="263">
        <v>42608</v>
      </c>
      <c r="C140" s="258">
        <v>25</v>
      </c>
      <c r="D140" s="259">
        <v>78.95</v>
      </c>
      <c r="E140" s="259">
        <v>0</v>
      </c>
      <c r="F140" s="259">
        <v>1973.75</v>
      </c>
      <c r="G140" s="263">
        <v>42648</v>
      </c>
      <c r="H140" s="264">
        <v>25</v>
      </c>
      <c r="I140" s="259">
        <v>78.959999999999994</v>
      </c>
      <c r="J140" s="259">
        <v>0.04</v>
      </c>
      <c r="K140" s="259">
        <v>1973.9599999999998</v>
      </c>
      <c r="L140" s="258"/>
      <c r="M140" s="258"/>
    </row>
    <row r="141" spans="1:13" x14ac:dyDescent="0.25">
      <c r="A141" s="258"/>
      <c r="B141" s="263">
        <v>42640</v>
      </c>
      <c r="C141" s="258">
        <v>30</v>
      </c>
      <c r="D141" s="259">
        <v>74.28</v>
      </c>
      <c r="E141" s="259">
        <v>0</v>
      </c>
      <c r="F141" s="259">
        <v>2228.4</v>
      </c>
      <c r="G141" s="263">
        <v>42671</v>
      </c>
      <c r="H141" s="264">
        <v>30</v>
      </c>
      <c r="I141" s="259">
        <v>82.08</v>
      </c>
      <c r="J141" s="259">
        <v>0.05</v>
      </c>
      <c r="K141" s="259">
        <v>2462.35</v>
      </c>
      <c r="L141" s="258"/>
      <c r="M141" s="258"/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8"/>
      <c r="J142" s="258"/>
      <c r="K142" s="259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8"/>
      <c r="J143" s="258"/>
      <c r="K143" s="259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8"/>
      <c r="J144" s="258"/>
      <c r="K144" s="259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8"/>
      <c r="K145" s="259"/>
      <c r="L145" s="258"/>
      <c r="M145" s="258"/>
    </row>
    <row r="146" spans="1:13" x14ac:dyDescent="0.25">
      <c r="A146" s="258"/>
      <c r="B146" s="263"/>
      <c r="C146" s="258"/>
      <c r="D146" s="259"/>
      <c r="E146" s="259"/>
      <c r="F146" s="259"/>
      <c r="G146" s="263"/>
      <c r="H146" s="264"/>
      <c r="I146" s="258"/>
      <c r="J146" s="258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63"/>
      <c r="H147" s="264"/>
      <c r="I147" s="258"/>
      <c r="J147" s="258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63"/>
      <c r="H148" s="264"/>
      <c r="I148" s="258"/>
      <c r="J148" s="258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63"/>
      <c r="H149" s="264"/>
      <c r="I149" s="258"/>
      <c r="J149" s="258"/>
      <c r="K149" s="259"/>
      <c r="L149" s="258"/>
      <c r="M149" s="258"/>
    </row>
    <row r="150" spans="1:13" x14ac:dyDescent="0.25">
      <c r="A150" s="32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60" t="s">
        <v>195</v>
      </c>
      <c r="B151" s="461"/>
      <c r="C151" s="462">
        <f>SumByColor($A$36,C134:C149)</f>
        <v>0</v>
      </c>
      <c r="D151" s="462"/>
      <c r="E151" s="462"/>
      <c r="F151" s="463">
        <f>SumByColor($A$36,F134:F149)</f>
        <v>0</v>
      </c>
      <c r="G151" s="462"/>
      <c r="H151" s="462">
        <f>SumByColor($A$36,H134:H149)</f>
        <v>0</v>
      </c>
      <c r="I151" s="462"/>
      <c r="J151" s="462"/>
      <c r="K151" s="463">
        <f>SumByColor($A$36,K134:K149)</f>
        <v>0</v>
      </c>
      <c r="L151" s="462"/>
      <c r="M151" s="463">
        <f>SumByColor($A$36,M134:M149)</f>
        <v>0</v>
      </c>
    </row>
  </sheetData>
  <conditionalFormatting sqref="N36">
    <cfRule type="expression" dxfId="1391" priority="42">
      <formula>N36&gt;0</formula>
    </cfRule>
    <cfRule type="expression" dxfId="1390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389" priority="36">
      <formula>F92&gt;0</formula>
    </cfRule>
    <cfRule type="expression" dxfId="1388" priority="37">
      <formula>F92&lt;0</formula>
    </cfRule>
  </conditionalFormatting>
  <conditionalFormatting sqref="H92:H110 H114:H131">
    <cfRule type="expression" dxfId="1387" priority="34">
      <formula>H92&gt;0</formula>
    </cfRule>
    <cfRule type="expression" dxfId="1386" priority="35">
      <formula>H92&lt;0</formula>
    </cfRule>
  </conditionalFormatting>
  <conditionalFormatting sqref="I88:I110 I113:I131">
    <cfRule type="expression" dxfId="1385" priority="32">
      <formula>I88&gt;0</formula>
    </cfRule>
    <cfRule type="expression" dxfId="1384" priority="33">
      <formula>I88&lt;0</formula>
    </cfRule>
  </conditionalFormatting>
  <conditionalFormatting sqref="Q7">
    <cfRule type="expression" dxfId="1383" priority="30">
      <formula>Q7&gt;0</formula>
    </cfRule>
    <cfRule type="expression" dxfId="1382" priority="31">
      <formula>Q7&lt;0</formula>
    </cfRule>
  </conditionalFormatting>
  <conditionalFormatting sqref="Q8">
    <cfRule type="expression" dxfId="1381" priority="28">
      <formula>Q8&gt;0</formula>
    </cfRule>
    <cfRule type="expression" dxfId="1380" priority="29">
      <formula>Q8&lt;0</formula>
    </cfRule>
  </conditionalFormatting>
  <conditionalFormatting sqref="F88:F91">
    <cfRule type="expression" dxfId="1379" priority="26">
      <formula>F88&gt;0</formula>
    </cfRule>
    <cfRule type="expression" dxfId="1378" priority="27">
      <formula>F88&lt;0</formula>
    </cfRule>
  </conditionalFormatting>
  <conditionalFormatting sqref="H88:H91">
    <cfRule type="expression" dxfId="1377" priority="24">
      <formula>H88&gt;0</formula>
    </cfRule>
    <cfRule type="expression" dxfId="1376" priority="25">
      <formula>H88&lt;0</formula>
    </cfRule>
  </conditionalFormatting>
  <conditionalFormatting sqref="F113:F127">
    <cfRule type="expression" dxfId="1375" priority="18">
      <formula>F113&gt;0</formula>
    </cfRule>
    <cfRule type="expression" dxfId="1374" priority="19">
      <formula>F113&lt;0</formula>
    </cfRule>
  </conditionalFormatting>
  <conditionalFormatting sqref="H113:H127">
    <cfRule type="expression" dxfId="1373" priority="16">
      <formula>H113&gt;0</formula>
    </cfRule>
    <cfRule type="expression" dxfId="1372" priority="17">
      <formula>H113&lt;0</formula>
    </cfRule>
  </conditionalFormatting>
  <conditionalFormatting sqref="F42:F66">
    <cfRule type="expression" dxfId="1371" priority="14">
      <formula>F42&gt;0</formula>
    </cfRule>
    <cfRule type="expression" dxfId="1370" priority="15">
      <formula>F42&lt;0</formula>
    </cfRule>
  </conditionalFormatting>
  <conditionalFormatting sqref="H42:H66">
    <cfRule type="expression" dxfId="1369" priority="12">
      <formula>H42&gt;0</formula>
    </cfRule>
    <cfRule type="expression" dxfId="1368" priority="13">
      <formula>H42&lt;0</formula>
    </cfRule>
  </conditionalFormatting>
  <conditionalFormatting sqref="J51:J72">
    <cfRule type="expression" dxfId="1367" priority="10">
      <formula>J51&gt;0</formula>
    </cfRule>
    <cfRule type="expression" dxfId="1366" priority="11">
      <formula>J51&lt;0</formula>
    </cfRule>
  </conditionalFormatting>
  <conditionalFormatting sqref="J56">
    <cfRule type="expression" dxfId="1365" priority="8">
      <formula>J56&gt;0</formula>
    </cfRule>
    <cfRule type="expression" dxfId="1364" priority="9">
      <formula>J56&lt;0</formula>
    </cfRule>
  </conditionalFormatting>
  <conditionalFormatting sqref="Q9">
    <cfRule type="expression" dxfId="1363" priority="2">
      <formula>Q9&gt;0</formula>
    </cfRule>
    <cfRule type="expression" dxfId="1362" priority="3">
      <formula>Q9&lt;0</formula>
    </cfRule>
  </conditionalFormatting>
  <conditionalFormatting sqref="R4">
    <cfRule type="expression" dxfId="1361" priority="4">
      <formula>R4&gt;0</formula>
    </cfRule>
    <cfRule type="expression" dxfId="1360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5">
        <f>AC2/AC3-1</f>
        <v>-5.1806313462734455E-3</v>
      </c>
    </row>
    <row r="3" spans="1:40" x14ac:dyDescent="0.25">
      <c r="A3" s="23" t="s">
        <v>71</v>
      </c>
      <c r="B3" s="361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161.6</v>
      </c>
      <c r="W3" s="131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5">
        <f t="shared" ref="AE3:AE66" si="1">AC3/AC4-1</f>
        <v>7.4460681976340481E-3</v>
      </c>
      <c r="AG3" s="1"/>
      <c r="AK3" s="231"/>
      <c r="AN3" s="231"/>
    </row>
    <row r="4" spans="1:40" x14ac:dyDescent="0.25">
      <c r="B4" s="361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161.6</v>
      </c>
      <c r="R4" s="514">
        <v>1.09E-2</v>
      </c>
      <c r="T4" s="1"/>
      <c r="W4" s="131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5">
        <f t="shared" si="1"/>
        <v>2.7843519420844842E-4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1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5">
        <f t="shared" si="1"/>
        <v>-1.875911901618954E-3</v>
      </c>
      <c r="AK5" s="231"/>
      <c r="AN5" s="231"/>
    </row>
    <row r="6" spans="1:40" x14ac:dyDescent="0.25">
      <c r="B6" s="161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5">
        <f t="shared" si="1"/>
        <v>-1.3183458229253375E-3</v>
      </c>
      <c r="AK6" s="231"/>
      <c r="AN6" s="231"/>
    </row>
    <row r="7" spans="1:40" x14ac:dyDescent="0.25">
      <c r="B7" s="161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1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5">
        <f t="shared" si="1"/>
        <v>2.2253129346314626E-3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5">
        <f t="shared" si="1"/>
        <v>2.0726859738784853E-2</v>
      </c>
      <c r="AK8" s="231"/>
      <c r="AN8" s="231"/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155"/>
      <c r="W9" s="131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5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2"/>
      <c r="I10" s="4"/>
      <c r="J10" s="4"/>
      <c r="K10" s="3"/>
      <c r="L10" s="4"/>
      <c r="O10" s="11" t="s">
        <v>210</v>
      </c>
      <c r="P10" s="34"/>
      <c r="Q10" s="2">
        <f>M55</f>
        <v>363.09999999999945</v>
      </c>
      <c r="W10" s="131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5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2"/>
      <c r="I11" s="4"/>
      <c r="J11" s="4"/>
      <c r="K11" s="3"/>
      <c r="L11" s="4"/>
      <c r="O11" s="11" t="s">
        <v>176</v>
      </c>
      <c r="P11" s="34"/>
      <c r="Q11" s="135">
        <f>VALUE(TRIM(CLEAN(MID(U55, FIND("(", U55)+1, 5))))</f>
        <v>1.5900000000000001E-2</v>
      </c>
      <c r="W11" s="131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5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2"/>
      <c r="I12" s="4"/>
      <c r="J12" s="4"/>
      <c r="K12" s="3"/>
      <c r="L12" s="4"/>
      <c r="W12" s="131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5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2"/>
      <c r="I13" s="3"/>
      <c r="J13" s="4"/>
      <c r="K13" s="3"/>
      <c r="L13" s="4"/>
      <c r="W13" s="131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5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2"/>
      <c r="I14" s="4"/>
      <c r="J14" s="4"/>
      <c r="K14" s="3"/>
      <c r="L14" s="4"/>
      <c r="W14" s="131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5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2"/>
      <c r="I15" s="4"/>
      <c r="J15" s="4"/>
      <c r="K15" s="3"/>
      <c r="L15" s="4"/>
      <c r="W15" s="131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5">
        <f t="shared" si="1"/>
        <v>-4.9754780012792876E-3</v>
      </c>
    </row>
    <row r="16" spans="1:40" x14ac:dyDescent="0.25">
      <c r="G16" s="1"/>
      <c r="H16" s="71"/>
      <c r="W16" s="131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5">
        <f t="shared" si="1"/>
        <v>1.6374768617399837E-3</v>
      </c>
    </row>
    <row r="17" spans="1:31" x14ac:dyDescent="0.25">
      <c r="G17" s="1"/>
      <c r="H17" s="71"/>
      <c r="W17" s="131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5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1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5">
        <f t="shared" si="1"/>
        <v>-1.5086206896550713E-3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N19" s="2"/>
      <c r="W19" s="131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5">
        <f t="shared" si="1"/>
        <v>4.3122035360076971E-4</v>
      </c>
    </row>
    <row r="20" spans="1:31" x14ac:dyDescent="0.25">
      <c r="W20" s="131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5">
        <f t="shared" si="1"/>
        <v>3.316988751081551E-3</v>
      </c>
    </row>
    <row r="21" spans="1:31" x14ac:dyDescent="0.25">
      <c r="W21" s="131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5">
        <f t="shared" si="1"/>
        <v>-2.3021582733812052E-3</v>
      </c>
    </row>
    <row r="22" spans="1:31" x14ac:dyDescent="0.25">
      <c r="W22" s="131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5">
        <f t="shared" si="1"/>
        <v>-3.7270642201835402E-3</v>
      </c>
    </row>
    <row r="23" spans="1:31" x14ac:dyDescent="0.25">
      <c r="W23" s="131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5">
        <f t="shared" si="1"/>
        <v>1.2918042198939439E-3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2" t="s">
        <v>65</v>
      </c>
      <c r="G24" s="226" t="s">
        <v>151</v>
      </c>
      <c r="H24" s="192" t="s">
        <v>88</v>
      </c>
      <c r="I24" s="192" t="s">
        <v>154</v>
      </c>
      <c r="W24" s="131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5">
        <f t="shared" si="1"/>
        <v>-3.1478036915152385E-3</v>
      </c>
    </row>
    <row r="25" spans="1:31" x14ac:dyDescent="0.25">
      <c r="B25" s="190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8">
        <f t="shared" ref="H25:H34" si="4">(E25-D25)/D25</f>
        <v>-1.238225799318918E-3</v>
      </c>
      <c r="I25" s="228"/>
      <c r="W25" s="131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5">
        <f t="shared" si="1"/>
        <v>5.9009786989061563E-3</v>
      </c>
    </row>
    <row r="26" spans="1:31" x14ac:dyDescent="0.25">
      <c r="B26" s="190">
        <v>42506</v>
      </c>
      <c r="C26" s="234">
        <v>25</v>
      </c>
      <c r="D26" s="235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8">
        <f t="shared" si="4"/>
        <v>3.7898553929155768E-2</v>
      </c>
      <c r="I26" s="228"/>
      <c r="W26" s="131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5">
        <f t="shared" si="1"/>
        <v>-5.9374776450388245E-3</v>
      </c>
    </row>
    <row r="27" spans="1:31" x14ac:dyDescent="0.25">
      <c r="B27" s="190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8">
        <f t="shared" si="4"/>
        <v>0.10135762614425338</v>
      </c>
      <c r="I27" s="229" t="s">
        <v>215</v>
      </c>
      <c r="W27" s="131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5">
        <f t="shared" si="1"/>
        <v>2.0439448134900173E-2</v>
      </c>
    </row>
    <row r="28" spans="1:31" x14ac:dyDescent="0.25">
      <c r="B28" s="190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8">
        <f t="shared" si="4"/>
        <v>8.1678680405076781E-2</v>
      </c>
      <c r="I28" s="40"/>
      <c r="W28" s="131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5">
        <f t="shared" si="1"/>
        <v>4.3818009201790353E-4</v>
      </c>
    </row>
    <row r="29" spans="1:31" x14ac:dyDescent="0.25">
      <c r="B29" s="190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8">
        <f t="shared" si="4"/>
        <v>5.3952459922609122E-2</v>
      </c>
      <c r="I29" s="40"/>
      <c r="W29" s="131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5">
        <f t="shared" si="1"/>
        <v>1.9757061320064828E-3</v>
      </c>
    </row>
    <row r="30" spans="1:31" x14ac:dyDescent="0.25">
      <c r="B30" s="190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8">
        <f t="shared" si="4"/>
        <v>6.2441958165656883E-2</v>
      </c>
      <c r="I30" s="40"/>
      <c r="W30" s="131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5">
        <f t="shared" si="1"/>
        <v>9.5217168387895512E-4</v>
      </c>
    </row>
    <row r="31" spans="1:31" x14ac:dyDescent="0.25">
      <c r="B31" s="190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8">
        <f t="shared" si="4"/>
        <v>1.825000545101723E-2</v>
      </c>
      <c r="I31" s="40"/>
      <c r="W31" s="131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5">
        <f t="shared" si="1"/>
        <v>-4.2301801473270118E-3</v>
      </c>
    </row>
    <row r="32" spans="1:31" x14ac:dyDescent="0.25">
      <c r="B32" s="190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8">
        <f t="shared" si="4"/>
        <v>3.4232387763557461E-3</v>
      </c>
      <c r="I32" s="40"/>
      <c r="W32" s="131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5">
        <f t="shared" si="1"/>
        <v>2.9992684711048767E-3</v>
      </c>
    </row>
    <row r="33" spans="2:31" x14ac:dyDescent="0.25">
      <c r="B33" s="190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8">
        <f t="shared" si="4"/>
        <v>2.0276899596642313E-2</v>
      </c>
      <c r="I33" s="40"/>
      <c r="W33" s="131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5">
        <f t="shared" si="1"/>
        <v>7.220748600058835E-3</v>
      </c>
    </row>
    <row r="34" spans="2:31" x14ac:dyDescent="0.25">
      <c r="B34" s="190">
        <v>42552</v>
      </c>
      <c r="C34" s="234">
        <v>25</v>
      </c>
      <c r="D34" s="235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8">
        <f t="shared" si="4"/>
        <v>9.9983940165645643E-2</v>
      </c>
      <c r="I34" s="40"/>
      <c r="W34" s="131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5">
        <f t="shared" si="1"/>
        <v>2.7336534909494503E-3</v>
      </c>
    </row>
    <row r="35" spans="2:31" x14ac:dyDescent="0.25">
      <c r="B35" s="190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8">
        <f t="shared" ref="H35:H41" si="7">(E35-D35)/D35</f>
        <v>9.0233326450547172E-2</v>
      </c>
      <c r="I35" s="40"/>
      <c r="W35" s="131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5">
        <f t="shared" si="1"/>
        <v>-1.1807246697660423E-3</v>
      </c>
    </row>
    <row r="36" spans="2:31" x14ac:dyDescent="0.25">
      <c r="B36" s="190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8">
        <f t="shared" si="7"/>
        <v>0.14518090256269062</v>
      </c>
      <c r="I36" s="233">
        <v>85</v>
      </c>
      <c r="W36" s="131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5">
        <f t="shared" si="1"/>
        <v>3.6290919863721793E-3</v>
      </c>
    </row>
    <row r="37" spans="2:31" x14ac:dyDescent="0.25">
      <c r="B37" s="190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8">
        <f t="shared" si="7"/>
        <v>0.14563975497281295</v>
      </c>
      <c r="I37" s="40"/>
      <c r="W37" s="131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5">
        <f t="shared" si="1"/>
        <v>1.2979218245930069E-2</v>
      </c>
    </row>
    <row r="38" spans="2:31" x14ac:dyDescent="0.25">
      <c r="B38" s="190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8">
        <f t="shared" si="7"/>
        <v>0.14667217289558798</v>
      </c>
      <c r="I38" s="40"/>
      <c r="W38" s="131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5">
        <f t="shared" si="1"/>
        <v>8.8555858310626068E-3</v>
      </c>
    </row>
    <row r="39" spans="2:31" ht="20.25" thickBot="1" x14ac:dyDescent="0.35">
      <c r="B39" s="190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8">
        <f t="shared" si="7"/>
        <v>0.13175946956661377</v>
      </c>
      <c r="I39" s="40"/>
      <c r="T39" s="111" t="s">
        <v>112</v>
      </c>
      <c r="U39" s="9"/>
      <c r="W39" s="131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5">
        <f t="shared" si="1"/>
        <v>-2.2655188038059881E-3</v>
      </c>
    </row>
    <row r="40" spans="2:31" ht="15.75" thickTop="1" x14ac:dyDescent="0.25">
      <c r="B40" s="190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8">
        <f t="shared" si="7"/>
        <v>0.11661734003257848</v>
      </c>
      <c r="I40" s="40"/>
      <c r="T40" s="136" t="s">
        <v>97</v>
      </c>
      <c r="U40" s="362">
        <v>144.77000000000001</v>
      </c>
      <c r="W40" s="131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5" t="e">
        <f t="shared" si="1"/>
        <v>#DIV/0!</v>
      </c>
    </row>
    <row r="41" spans="2:31" x14ac:dyDescent="0.25">
      <c r="B41" s="190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8">
        <f t="shared" si="7"/>
        <v>0.44132995377963341</v>
      </c>
      <c r="I41" s="40" t="s">
        <v>255</v>
      </c>
      <c r="T41" s="107" t="s">
        <v>98</v>
      </c>
      <c r="U41" s="363">
        <v>144.63999999999999</v>
      </c>
      <c r="W41" s="131">
        <v>42775</v>
      </c>
      <c r="X41" s="10" t="s">
        <v>207</v>
      </c>
      <c r="Y41" s="10"/>
      <c r="Z41" s="10"/>
      <c r="AA41" s="10"/>
      <c r="AB41" s="94"/>
      <c r="AC41" s="10"/>
      <c r="AD41" s="2">
        <f t="shared" si="0"/>
        <v>0</v>
      </c>
      <c r="AE41" s="135">
        <f t="shared" si="1"/>
        <v>-1</v>
      </c>
    </row>
    <row r="42" spans="2:31" ht="20.25" thickBot="1" x14ac:dyDescent="0.35">
      <c r="B42" s="190">
        <v>42577</v>
      </c>
      <c r="C42" s="10">
        <v>0</v>
      </c>
      <c r="D42" s="40"/>
      <c r="E42" s="40"/>
      <c r="F42" s="40">
        <v>363.1</v>
      </c>
      <c r="G42" s="40"/>
      <c r="H42" s="228"/>
      <c r="I42" s="40"/>
      <c r="O42" s="716" t="s">
        <v>78</v>
      </c>
      <c r="P42" s="716"/>
      <c r="T42" s="107" t="s">
        <v>99</v>
      </c>
      <c r="U42" s="363" t="s">
        <v>615</v>
      </c>
      <c r="W42" s="131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5">
        <f t="shared" si="1"/>
        <v>3.894318875992564E-3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1.1000000000000001</v>
      </c>
      <c r="P43" s="82">
        <f>O43*$Q$4</f>
        <v>177.76000000000002</v>
      </c>
      <c r="Q43" s="2"/>
      <c r="T43" s="107" t="s">
        <v>100</v>
      </c>
      <c r="U43" s="363" t="s">
        <v>616</v>
      </c>
      <c r="W43" s="131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5">
        <f t="shared" si="1"/>
        <v>9.481230247437189E-3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1.0900000000000001</v>
      </c>
      <c r="P44" s="82">
        <f t="shared" ref="P44:P63" si="8">O44*$Q$4</f>
        <v>176.14400000000001</v>
      </c>
      <c r="Q44" s="2"/>
      <c r="T44" s="107" t="s">
        <v>101</v>
      </c>
      <c r="U44" s="363">
        <v>147</v>
      </c>
      <c r="W44" s="131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5">
        <f t="shared" si="1"/>
        <v>9.414877061935778E-3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1.08</v>
      </c>
      <c r="P45" s="82">
        <f t="shared" si="8"/>
        <v>174.52799999999999</v>
      </c>
      <c r="Q45" s="2"/>
      <c r="T45" s="107" t="s">
        <v>102</v>
      </c>
      <c r="U45" s="363">
        <v>1.44598</v>
      </c>
      <c r="W45" s="131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5">
        <f t="shared" si="1"/>
        <v>4.2194092827003704E-3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1.07</v>
      </c>
      <c r="P46" s="82">
        <f t="shared" si="8"/>
        <v>172.91200000000001</v>
      </c>
      <c r="Q46" s="2"/>
      <c r="T46" s="107" t="s">
        <v>121</v>
      </c>
      <c r="U46" s="363" t="s">
        <v>407</v>
      </c>
      <c r="W46" s="131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5">
        <f t="shared" si="1"/>
        <v>-1.6381933068101429E-3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1.06</v>
      </c>
      <c r="P47" s="82">
        <f t="shared" si="8"/>
        <v>171.29599999999999</v>
      </c>
      <c r="Q47" s="2"/>
      <c r="T47" s="107"/>
      <c r="U47" s="363"/>
      <c r="W47" s="131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5">
        <f t="shared" si="1"/>
        <v>6.0912025159314709E-2</v>
      </c>
    </row>
    <row r="48" spans="2:31" x14ac:dyDescent="0.25">
      <c r="O48" s="82">
        <v>1.05</v>
      </c>
      <c r="P48" s="82">
        <f t="shared" si="8"/>
        <v>169.68</v>
      </c>
      <c r="Q48" s="2"/>
      <c r="T48" s="107" t="s">
        <v>104</v>
      </c>
      <c r="U48" s="363" t="s">
        <v>617</v>
      </c>
      <c r="W48" s="131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5">
        <f t="shared" si="1"/>
        <v>-2.2295623451692448E-3</v>
      </c>
    </row>
    <row r="49" spans="1:31" x14ac:dyDescent="0.25">
      <c r="O49" s="82">
        <v>1.04</v>
      </c>
      <c r="P49" s="82">
        <f t="shared" si="8"/>
        <v>168.06399999999999</v>
      </c>
      <c r="Q49" s="2"/>
      <c r="T49" s="107" t="s">
        <v>105</v>
      </c>
      <c r="U49" s="363" t="s">
        <v>618</v>
      </c>
      <c r="W49" s="131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5">
        <f t="shared" si="1"/>
        <v>-2.6354801515401372E-3</v>
      </c>
    </row>
    <row r="50" spans="1:31" x14ac:dyDescent="0.25">
      <c r="O50" s="82">
        <v>1.03</v>
      </c>
      <c r="P50" s="82">
        <f t="shared" si="8"/>
        <v>166.44800000000001</v>
      </c>
      <c r="Q50" s="2"/>
      <c r="T50" s="107" t="s">
        <v>106</v>
      </c>
      <c r="U50" s="364">
        <v>27717854</v>
      </c>
      <c r="W50" s="131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5">
        <f t="shared" si="1"/>
        <v>8.2365538258910576E-5</v>
      </c>
    </row>
    <row r="51" spans="1:31" x14ac:dyDescent="0.25">
      <c r="O51" s="82">
        <v>1.02</v>
      </c>
      <c r="P51" s="82">
        <f t="shared" si="8"/>
        <v>164.83199999999999</v>
      </c>
      <c r="Q51" s="2"/>
      <c r="T51" s="107" t="s">
        <v>109</v>
      </c>
      <c r="U51" s="364">
        <v>27338400</v>
      </c>
      <c r="W51" s="131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5">
        <f t="shared" si="1"/>
        <v>4.9443757725597948E-4</v>
      </c>
    </row>
    <row r="52" spans="1:31" x14ac:dyDescent="0.25">
      <c r="O52" s="82">
        <v>1.01</v>
      </c>
      <c r="P52" s="82">
        <f t="shared" si="8"/>
        <v>163.21600000000001</v>
      </c>
      <c r="Q52" s="2"/>
      <c r="T52" s="107" t="s">
        <v>107</v>
      </c>
      <c r="U52" s="363" t="s">
        <v>619</v>
      </c>
      <c r="W52" s="131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5">
        <f t="shared" si="1"/>
        <v>1.5906236919212891E-2</v>
      </c>
    </row>
    <row r="53" spans="1:31" x14ac:dyDescent="0.25">
      <c r="O53" s="82">
        <v>1</v>
      </c>
      <c r="P53" s="82">
        <f t="shared" si="8"/>
        <v>161.6</v>
      </c>
      <c r="Q53" s="2"/>
      <c r="T53" s="107" t="s">
        <v>110</v>
      </c>
      <c r="U53" s="363">
        <v>17.29</v>
      </c>
      <c r="W53" s="131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5">
        <f t="shared" si="1"/>
        <v>-9.2004014720636906E-4</v>
      </c>
    </row>
    <row r="54" spans="1:31" x14ac:dyDescent="0.25">
      <c r="O54" s="82">
        <v>0.99</v>
      </c>
      <c r="P54" s="82">
        <f t="shared" si="8"/>
        <v>159.98399999999998</v>
      </c>
      <c r="Q54" s="2"/>
      <c r="T54" s="107" t="s">
        <v>111</v>
      </c>
      <c r="U54" s="363">
        <v>8.33</v>
      </c>
      <c r="W54" s="131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5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158.36799999999999</v>
      </c>
      <c r="Q55" s="2"/>
      <c r="T55" s="107" t="s">
        <v>108</v>
      </c>
      <c r="U55" s="363" t="s">
        <v>568</v>
      </c>
      <c r="W55" s="131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5">
        <f t="shared" si="1"/>
        <v>1.8447090390742993E-3</v>
      </c>
    </row>
    <row r="56" spans="1:31" x14ac:dyDescent="0.25">
      <c r="A56" s="260" t="s">
        <v>1</v>
      </c>
      <c r="B56" s="260" t="s">
        <v>2</v>
      </c>
      <c r="C56" s="260" t="s">
        <v>4</v>
      </c>
      <c r="D56" s="261" t="s">
        <v>5</v>
      </c>
      <c r="E56" s="261" t="s">
        <v>94</v>
      </c>
      <c r="F56" s="261" t="s">
        <v>60</v>
      </c>
      <c r="G56" s="260" t="s">
        <v>3</v>
      </c>
      <c r="H56" s="260" t="s">
        <v>6</v>
      </c>
      <c r="I56" s="260" t="s">
        <v>7</v>
      </c>
      <c r="J56" s="260" t="s">
        <v>95</v>
      </c>
      <c r="K56" s="261" t="s">
        <v>61</v>
      </c>
      <c r="L56" s="260" t="s">
        <v>77</v>
      </c>
      <c r="M56" s="260" t="s">
        <v>38</v>
      </c>
      <c r="O56" s="82">
        <v>0.97</v>
      </c>
      <c r="P56" s="82">
        <f t="shared" si="8"/>
        <v>156.75199999999998</v>
      </c>
      <c r="W56" s="131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5">
        <f t="shared" si="1"/>
        <v>-1.7577634552606858E-3</v>
      </c>
    </row>
    <row r="57" spans="1:31" x14ac:dyDescent="0.25">
      <c r="A57" s="262" t="s">
        <v>204</v>
      </c>
      <c r="B57" s="263">
        <v>42502</v>
      </c>
      <c r="C57" s="258">
        <v>25</v>
      </c>
      <c r="D57" s="259">
        <v>90.65</v>
      </c>
      <c r="E57" s="259">
        <v>0</v>
      </c>
      <c r="F57" s="259">
        <f>C57*D57 + E57</f>
        <v>2266.25</v>
      </c>
      <c r="G57" s="263">
        <v>42502</v>
      </c>
      <c r="H57" s="264">
        <v>25</v>
      </c>
      <c r="I57" s="259">
        <v>90.64</v>
      </c>
      <c r="J57" s="259">
        <v>0.05</v>
      </c>
      <c r="K57" s="259">
        <f>H57*I57-J57</f>
        <v>2265.9499999999998</v>
      </c>
      <c r="L57" s="263">
        <v>42588</v>
      </c>
      <c r="M57" s="258"/>
      <c r="O57" s="82">
        <v>0.96</v>
      </c>
      <c r="P57" s="82">
        <f t="shared" si="8"/>
        <v>155.136</v>
      </c>
      <c r="W57" s="131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5">
        <f t="shared" si="1"/>
        <v>-8.36960160697231E-5</v>
      </c>
    </row>
    <row r="58" spans="1:31" x14ac:dyDescent="0.25">
      <c r="A58" s="265" t="s">
        <v>71</v>
      </c>
      <c r="B58" s="458">
        <v>42502</v>
      </c>
      <c r="C58" s="258">
        <v>25</v>
      </c>
      <c r="D58" s="259">
        <v>90.44</v>
      </c>
      <c r="E58" s="259">
        <v>0</v>
      </c>
      <c r="F58" s="259">
        <f>C58*D58 + E58</f>
        <v>2261</v>
      </c>
      <c r="G58" s="263">
        <v>42552</v>
      </c>
      <c r="H58" s="264">
        <v>25</v>
      </c>
      <c r="I58" s="259">
        <v>96.28</v>
      </c>
      <c r="J58" s="259">
        <v>0.05</v>
      </c>
      <c r="K58" s="259">
        <f>H58*I58-J58</f>
        <v>2406.9499999999998</v>
      </c>
      <c r="L58" s="258"/>
      <c r="M58" s="258"/>
      <c r="O58" s="82">
        <v>0.95</v>
      </c>
      <c r="P58" s="82">
        <f t="shared" si="8"/>
        <v>153.51999999999998</v>
      </c>
      <c r="W58" s="131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5">
        <f t="shared" si="1"/>
        <v>8.0148485615456622E-3</v>
      </c>
    </row>
    <row r="59" spans="1:31" x14ac:dyDescent="0.25">
      <c r="A59" s="258"/>
      <c r="B59" s="458">
        <v>42545</v>
      </c>
      <c r="C59" s="258">
        <v>25</v>
      </c>
      <c r="D59" s="259">
        <v>93</v>
      </c>
      <c r="E59" s="259">
        <v>0</v>
      </c>
      <c r="F59" s="259">
        <f>C59*D59 + E59</f>
        <v>2325</v>
      </c>
      <c r="G59" s="263">
        <v>42577</v>
      </c>
      <c r="H59" s="264">
        <v>15</v>
      </c>
      <c r="I59" s="259">
        <v>100.58</v>
      </c>
      <c r="J59" s="259">
        <v>0.03</v>
      </c>
      <c r="K59" s="259">
        <f>H59*I59-J59</f>
        <v>1508.67</v>
      </c>
      <c r="L59" s="258"/>
      <c r="M59" s="258"/>
      <c r="O59" s="82">
        <v>0.94</v>
      </c>
      <c r="P59" s="82">
        <f t="shared" si="8"/>
        <v>151.904</v>
      </c>
      <c r="W59" s="131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5">
        <f t="shared" si="1"/>
        <v>-1.7685699848407621E-3</v>
      </c>
    </row>
    <row r="60" spans="1:31" x14ac:dyDescent="0.25">
      <c r="A60" s="258"/>
      <c r="B60" s="263"/>
      <c r="C60" s="258"/>
      <c r="D60" s="259"/>
      <c r="E60" s="259"/>
      <c r="F60" s="259"/>
      <c r="G60" s="263">
        <v>42577</v>
      </c>
      <c r="H60" s="264">
        <v>10</v>
      </c>
      <c r="I60" s="259">
        <v>103.38</v>
      </c>
      <c r="J60" s="259">
        <v>0.02</v>
      </c>
      <c r="K60" s="259">
        <f>H60*I60-J60</f>
        <v>1033.78</v>
      </c>
      <c r="L60" s="258"/>
      <c r="M60" s="258"/>
      <c r="O60" s="82">
        <v>0.93</v>
      </c>
      <c r="P60" s="82">
        <f t="shared" si="8"/>
        <v>150.28800000000001</v>
      </c>
      <c r="W60" s="131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5">
        <f t="shared" si="1"/>
        <v>-4.1097039335737939E-3</v>
      </c>
    </row>
    <row r="61" spans="1:31" x14ac:dyDescent="0.25">
      <c r="A61" s="258"/>
      <c r="B61" s="459"/>
      <c r="C61" s="258"/>
      <c r="D61" s="259"/>
      <c r="E61" s="259"/>
      <c r="F61" s="259"/>
      <c r="G61" s="263"/>
      <c r="H61" s="264"/>
      <c r="I61" s="259"/>
      <c r="J61" s="259"/>
      <c r="K61" s="259"/>
      <c r="L61" s="258"/>
      <c r="M61" s="258"/>
      <c r="O61" s="82">
        <v>0.92</v>
      </c>
      <c r="P61" s="82">
        <f t="shared" si="8"/>
        <v>148.672</v>
      </c>
      <c r="W61" s="131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5">
        <f t="shared" si="1"/>
        <v>5.3119730185497982E-3</v>
      </c>
    </row>
    <row r="62" spans="1:31" x14ac:dyDescent="0.25">
      <c r="A62" s="258"/>
      <c r="B62" s="459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O62" s="82">
        <v>0.91</v>
      </c>
      <c r="P62" s="82">
        <f t="shared" si="8"/>
        <v>147.05600000000001</v>
      </c>
      <c r="W62" s="131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5">
        <f t="shared" si="1"/>
        <v>1.0128291694799785E-3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O63" s="82">
        <v>0.9</v>
      </c>
      <c r="P63" s="82">
        <f t="shared" si="8"/>
        <v>145.44</v>
      </c>
      <c r="W63" s="131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5">
        <f t="shared" si="1"/>
        <v>9.1993185689949186E-3</v>
      </c>
    </row>
    <row r="64" spans="1:31" x14ac:dyDescent="0.25">
      <c r="A64" s="258"/>
      <c r="B64" s="263"/>
      <c r="C64" s="258"/>
      <c r="D64" s="259"/>
      <c r="E64" s="259"/>
      <c r="F64" s="259"/>
      <c r="G64" s="263"/>
      <c r="H64" s="264"/>
      <c r="I64" s="259"/>
      <c r="J64" s="259"/>
      <c r="K64" s="259"/>
      <c r="L64" s="258"/>
      <c r="M64" s="258"/>
      <c r="W64" s="131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5">
        <f t="shared" si="1"/>
        <v>1.1110154164154729E-2</v>
      </c>
    </row>
    <row r="65" spans="1:31" x14ac:dyDescent="0.25">
      <c r="A65" s="258"/>
      <c r="B65" s="263"/>
      <c r="C65" s="258"/>
      <c r="D65" s="259"/>
      <c r="E65" s="259"/>
      <c r="F65" s="259"/>
      <c r="G65" s="263"/>
      <c r="H65" s="264"/>
      <c r="I65" s="258"/>
      <c r="J65" s="258"/>
      <c r="K65" s="259"/>
      <c r="L65" s="258"/>
      <c r="M65" s="258"/>
      <c r="W65" s="131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5">
        <f t="shared" si="1"/>
        <v>5.1073407202215648E-3</v>
      </c>
    </row>
    <row r="66" spans="1:31" x14ac:dyDescent="0.25">
      <c r="A66" s="258"/>
      <c r="B66" s="263"/>
      <c r="C66" s="258"/>
      <c r="D66" s="259"/>
      <c r="E66" s="259"/>
      <c r="F66" s="259"/>
      <c r="G66" s="263"/>
      <c r="H66" s="264"/>
      <c r="I66" s="258"/>
      <c r="J66" s="258"/>
      <c r="K66" s="259"/>
      <c r="L66" s="258"/>
      <c r="M66" s="258"/>
      <c r="W66" s="131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5">
        <f t="shared" si="1"/>
        <v>-1.1240812797234101E-3</v>
      </c>
    </row>
    <row r="67" spans="1:31" x14ac:dyDescent="0.25">
      <c r="A67" s="258"/>
      <c r="B67" s="263"/>
      <c r="C67" s="258"/>
      <c r="D67" s="259"/>
      <c r="E67" s="259"/>
      <c r="F67" s="259"/>
      <c r="G67" s="263"/>
      <c r="H67" s="264"/>
      <c r="I67" s="258"/>
      <c r="J67" s="258"/>
      <c r="K67" s="259"/>
      <c r="L67" s="258"/>
      <c r="M67" s="258"/>
      <c r="W67" s="131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5">
        <f>AC67/AC68-1</f>
        <v>2.8616024973986409E-3</v>
      </c>
    </row>
    <row r="68" spans="1:31" x14ac:dyDescent="0.25">
      <c r="A68" s="258"/>
      <c r="B68" s="263"/>
      <c r="C68" s="258"/>
      <c r="D68" s="259"/>
      <c r="E68" s="259"/>
      <c r="F68" s="259"/>
      <c r="G68" s="263"/>
      <c r="H68" s="264"/>
      <c r="I68" s="259"/>
      <c r="J68" s="258"/>
      <c r="K68" s="259"/>
      <c r="L68" s="258"/>
      <c r="M68" s="258"/>
      <c r="W68" s="131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5" t="e">
        <f>AC68/AC69-1</f>
        <v>#DIV/0!</v>
      </c>
    </row>
    <row r="69" spans="1:31" x14ac:dyDescent="0.25">
      <c r="A69" s="258"/>
      <c r="B69" s="263"/>
      <c r="C69" s="258"/>
      <c r="D69" s="259"/>
      <c r="E69" s="259"/>
      <c r="F69" s="259"/>
      <c r="G69" s="263"/>
      <c r="H69" s="264"/>
      <c r="I69" s="258"/>
      <c r="J69" s="258"/>
      <c r="K69" s="259"/>
      <c r="L69" s="258"/>
      <c r="M69" s="258"/>
      <c r="W69" s="281" t="s">
        <v>120</v>
      </c>
      <c r="AB69" s="232"/>
    </row>
    <row r="70" spans="1:31" x14ac:dyDescent="0.25">
      <c r="A70" s="258"/>
      <c r="B70" s="258"/>
      <c r="C70" s="258"/>
      <c r="D70" s="259"/>
      <c r="E70" s="259"/>
      <c r="F70" s="259"/>
      <c r="G70" s="263"/>
      <c r="H70" s="264"/>
      <c r="I70" s="258"/>
      <c r="J70" s="258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63"/>
      <c r="H71" s="264"/>
      <c r="I71" s="258"/>
      <c r="J71" s="258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63"/>
      <c r="H72" s="264"/>
      <c r="I72" s="258"/>
      <c r="J72" s="258"/>
      <c r="K72" s="259"/>
      <c r="L72" s="258"/>
      <c r="M72" s="258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0"/>
      <c r="B74" s="461"/>
      <c r="C74" s="462"/>
      <c r="D74" s="462"/>
      <c r="E74" s="462"/>
      <c r="F74" s="463"/>
      <c r="G74" s="462"/>
      <c r="H74" s="462"/>
      <c r="I74" s="462"/>
      <c r="J74" s="462"/>
      <c r="K74" s="463"/>
      <c r="L74" s="462"/>
      <c r="M74" s="463"/>
    </row>
  </sheetData>
  <mergeCells count="1">
    <mergeCell ref="O42:P42"/>
  </mergeCells>
  <conditionalFormatting sqref="N19">
    <cfRule type="expression" dxfId="1348" priority="35">
      <formula>N19&gt;0</formula>
    </cfRule>
    <cfRule type="expression" dxfId="134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346" priority="21">
      <formula>F25&gt;0</formula>
    </cfRule>
    <cfRule type="expression" dxfId="1345" priority="22">
      <formula>F25&lt;0</formula>
    </cfRule>
  </conditionalFormatting>
  <conditionalFormatting sqref="H25:H47">
    <cfRule type="expression" dxfId="1344" priority="19">
      <formula>H25&gt;0</formula>
    </cfRule>
    <cfRule type="expression" dxfId="1343" priority="20">
      <formula>H25&lt;0</formula>
    </cfRule>
  </conditionalFormatting>
  <conditionalFormatting sqref="I25:I27">
    <cfRule type="expression" dxfId="1342" priority="15">
      <formula>I25&gt;0</formula>
    </cfRule>
    <cfRule type="expression" dxfId="1341" priority="16">
      <formula>I25&lt;0</formula>
    </cfRule>
  </conditionalFormatting>
  <conditionalFormatting sqref="Q7">
    <cfRule type="expression" dxfId="1340" priority="5">
      <formula>Q7&gt;0</formula>
    </cfRule>
    <cfRule type="expression" dxfId="1339" priority="6">
      <formula>Q7&lt;0</formula>
    </cfRule>
  </conditionalFormatting>
  <conditionalFormatting sqref="Q8">
    <cfRule type="expression" dxfId="1338" priority="3">
      <formula>Q8&gt;0</formula>
    </cfRule>
    <cfRule type="expression" dxfId="133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250</v>
      </c>
      <c r="W2" s="131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2"/>
      <c r="I3" s="3"/>
      <c r="J3" s="3"/>
      <c r="K3" s="3"/>
      <c r="L3" s="4"/>
      <c r="O3" s="11" t="s">
        <v>58</v>
      </c>
      <c r="Q3" s="227">
        <f>IF(Q2=0, Q4, (F18-K18-M18)/Q2)</f>
        <v>86.79</v>
      </c>
      <c r="T3" s="1">
        <v>42572</v>
      </c>
      <c r="U3" t="s">
        <v>241</v>
      </c>
      <c r="W3" s="131">
        <v>42830</v>
      </c>
      <c r="X3" s="10" t="s">
        <v>301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86.79</v>
      </c>
      <c r="R4" s="497">
        <v>1.54E-2</v>
      </c>
      <c r="T4" s="160"/>
      <c r="U4" s="1"/>
      <c r="W4" s="131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5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5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5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1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5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5">
        <f t="shared" si="1"/>
        <v>-4.9795709908068142E-3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5">
        <f t="shared" si="1"/>
        <v>1.3457556935817738E-2</v>
      </c>
    </row>
    <row r="10" spans="1:31" x14ac:dyDescent="0.25">
      <c r="H10" s="71"/>
      <c r="O10" s="11" t="s">
        <v>210</v>
      </c>
      <c r="P10" s="34"/>
      <c r="Q10" s="2">
        <f>M48</f>
        <v>231.53999999999996</v>
      </c>
      <c r="W10" s="131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5">
        <f t="shared" si="1"/>
        <v>-7.7041602465330872E-3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1.6199999999999999E-2</v>
      </c>
      <c r="W11" s="131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5">
        <f t="shared" si="1"/>
        <v>4.6439628482972672E-3</v>
      </c>
    </row>
    <row r="12" spans="1:31" x14ac:dyDescent="0.25">
      <c r="H12" s="71"/>
      <c r="W12" s="131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5">
        <f t="shared" si="1"/>
        <v>2.19780219780219E-3</v>
      </c>
    </row>
    <row r="13" spans="1:31" x14ac:dyDescent="0.25">
      <c r="H13" s="71"/>
      <c r="W13" s="131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5">
        <f t="shared" si="1"/>
        <v>1.8132366273799772E-3</v>
      </c>
    </row>
    <row r="14" spans="1:31" x14ac:dyDescent="0.25">
      <c r="H14" s="71"/>
      <c r="W14" s="131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5">
        <f t="shared" si="1"/>
        <v>-1.6808862854959972E-2</v>
      </c>
    </row>
    <row r="15" spans="1:31" x14ac:dyDescent="0.25">
      <c r="H15" s="71"/>
      <c r="W15" s="131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5">
        <f t="shared" si="1"/>
        <v>-5.0677815786139835E-3</v>
      </c>
    </row>
    <row r="16" spans="1:31" x14ac:dyDescent="0.25">
      <c r="H16" s="71"/>
      <c r="W16" s="131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5">
        <f t="shared" si="1"/>
        <v>-6.4199395770391243E-3</v>
      </c>
    </row>
    <row r="17" spans="1:31" x14ac:dyDescent="0.25">
      <c r="W17" s="131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5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5">
        <f t="shared" si="1"/>
        <v>-5.6703629032258673E-3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5">
        <f t="shared" si="1"/>
        <v>5.9576625681327933E-3</v>
      </c>
    </row>
    <row r="20" spans="1:31" x14ac:dyDescent="0.25">
      <c r="W20" s="131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5">
        <f t="shared" si="1"/>
        <v>-2.1502656210473647E-3</v>
      </c>
    </row>
    <row r="21" spans="1:31" x14ac:dyDescent="0.25">
      <c r="W21" s="131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5">
        <f t="shared" si="1"/>
        <v>1.0129146619397567E-3</v>
      </c>
    </row>
    <row r="22" spans="1:31" x14ac:dyDescent="0.25">
      <c r="W22" s="131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5">
        <f t="shared" si="1"/>
        <v>3.3028455284553893E-3</v>
      </c>
    </row>
    <row r="23" spans="1:31" x14ac:dyDescent="0.25">
      <c r="W23" s="131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5">
        <f t="shared" si="1"/>
        <v>-6.6876971608832436E-3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5">
        <f t="shared" si="1"/>
        <v>1.0104837691045088E-3</v>
      </c>
    </row>
    <row r="25" spans="1:31" x14ac:dyDescent="0.25">
      <c r="B25" s="190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8">
        <f t="shared" ref="H25:H35" si="4">(E25-D25)/D25</f>
        <v>-2.3865944482058168E-2</v>
      </c>
      <c r="I25" s="40"/>
      <c r="W25" s="131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5">
        <f t="shared" si="1"/>
        <v>-4.7768698931489606E-3</v>
      </c>
    </row>
    <row r="26" spans="1:31" x14ac:dyDescent="0.25">
      <c r="B26" s="190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8">
        <f t="shared" si="4"/>
        <v>9.3094109681788138E-3</v>
      </c>
      <c r="I26" s="40"/>
      <c r="W26" s="131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5">
        <f t="shared" si="1"/>
        <v>-2.7579290460072459E-3</v>
      </c>
    </row>
    <row r="27" spans="1:31" x14ac:dyDescent="0.25">
      <c r="B27" s="190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8">
        <f t="shared" si="4"/>
        <v>2.7251184834123213E-2</v>
      </c>
      <c r="I27" s="40"/>
      <c r="W27" s="131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5">
        <f t="shared" si="1"/>
        <v>-2.230665522735642E-2</v>
      </c>
    </row>
    <row r="28" spans="1:31" x14ac:dyDescent="0.25">
      <c r="B28" s="190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8">
        <f t="shared" si="4"/>
        <v>1.1848341232227537E-3</v>
      </c>
      <c r="I28" s="40"/>
      <c r="W28" s="131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5">
        <f t="shared" si="1"/>
        <v>2.3328734478866187E-2</v>
      </c>
    </row>
    <row r="29" spans="1:31" x14ac:dyDescent="0.25">
      <c r="B29" s="190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8">
        <f t="shared" si="4"/>
        <v>6.7704807041299693E-3</v>
      </c>
      <c r="I29" s="40"/>
      <c r="W29" s="131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5">
        <f t="shared" si="1"/>
        <v>-1.3777555110220385E-3</v>
      </c>
    </row>
    <row r="30" spans="1:31" x14ac:dyDescent="0.25">
      <c r="B30" s="190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8">
        <f t="shared" si="4"/>
        <v>8.3107650643195738E-2</v>
      </c>
      <c r="I30" s="233">
        <v>57</v>
      </c>
      <c r="W30" s="131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5">
        <f t="shared" si="1"/>
        <v>5.1617776658692271E-3</v>
      </c>
    </row>
    <row r="31" spans="1:31" x14ac:dyDescent="0.25">
      <c r="B31" s="190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8">
        <f t="shared" si="4"/>
        <v>8.5985104942450888E-2</v>
      </c>
      <c r="I31" s="40"/>
      <c r="W31" s="131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5">
        <f t="shared" si="1"/>
        <v>-3.6377320622176246E-3</v>
      </c>
    </row>
    <row r="32" spans="1:31" x14ac:dyDescent="0.25">
      <c r="B32" s="190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8">
        <f t="shared" si="4"/>
        <v>9.140148950575501E-2</v>
      </c>
      <c r="I32" s="40" t="s">
        <v>249</v>
      </c>
      <c r="W32" s="131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5">
        <f t="shared" si="1"/>
        <v>2.3890355840563426E-3</v>
      </c>
    </row>
    <row r="33" spans="2:31" x14ac:dyDescent="0.25">
      <c r="B33" s="190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8">
        <f t="shared" si="4"/>
        <v>7.3628977657413705E-2</v>
      </c>
      <c r="I33" s="40"/>
      <c r="W33" s="131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5">
        <f t="shared" si="1"/>
        <v>-1.3812154696132284E-3</v>
      </c>
    </row>
    <row r="34" spans="2:31" x14ac:dyDescent="0.25">
      <c r="B34" s="190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8">
        <f t="shared" si="4"/>
        <v>8.8016249153689968E-2</v>
      </c>
      <c r="I34" s="40"/>
      <c r="W34" s="131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5">
        <f t="shared" si="1"/>
        <v>3.2753842277652989E-3</v>
      </c>
    </row>
    <row r="35" spans="2:31" x14ac:dyDescent="0.25">
      <c r="B35" s="190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8">
        <f t="shared" si="4"/>
        <v>8.8862559241706163E-2</v>
      </c>
      <c r="I35" s="40"/>
      <c r="W35" s="131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5">
        <f t="shared" si="1"/>
        <v>2.5258903763574203E-3</v>
      </c>
    </row>
    <row r="36" spans="2:31" x14ac:dyDescent="0.25">
      <c r="B36" s="190">
        <v>42593</v>
      </c>
      <c r="C36" s="10">
        <v>0</v>
      </c>
      <c r="D36" s="40"/>
      <c r="E36" s="40"/>
      <c r="F36" s="40">
        <v>231.54</v>
      </c>
      <c r="G36" s="40"/>
      <c r="H36" s="228"/>
      <c r="I36" s="40"/>
      <c r="W36" s="131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5">
        <f t="shared" si="1"/>
        <v>-1.1353601614733089E-3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5">
        <f t="shared" si="1"/>
        <v>2.2758882286002535E-3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5">
        <f t="shared" si="1"/>
        <v>6.362132586843039E-3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5">
        <f t="shared" si="1"/>
        <v>5.501535312180339E-3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5">
        <f t="shared" si="1"/>
        <v>3.8530696121243935E-3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95.469000000000008</v>
      </c>
      <c r="Q41" s="2"/>
      <c r="W41" s="131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5">
        <f t="shared" si="1"/>
        <v>4.9044914816727125E-3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94.601100000000017</v>
      </c>
      <c r="Q42" s="2"/>
      <c r="T42" s="90" t="s">
        <v>112</v>
      </c>
      <c r="W42" s="131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5">
        <f t="shared" si="1"/>
        <v>1.0335917312660481E-3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93.733200000000011</v>
      </c>
      <c r="Q43" s="2"/>
      <c r="T43" s="126" t="s">
        <v>97</v>
      </c>
      <c r="U43" s="127">
        <v>77.94</v>
      </c>
      <c r="W43" s="131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5">
        <f t="shared" si="1"/>
        <v>-1.290322580645098E-3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92.865300000000019</v>
      </c>
      <c r="Q44" s="2"/>
      <c r="T44" s="92" t="s">
        <v>98</v>
      </c>
      <c r="U44" s="128">
        <v>78.510000000000005</v>
      </c>
      <c r="W44" s="131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5">
        <f t="shared" si="1"/>
        <v>-2.8306742151312791E-3</v>
      </c>
    </row>
    <row r="45" spans="2:31" x14ac:dyDescent="0.25">
      <c r="O45" s="82">
        <v>1.06</v>
      </c>
      <c r="P45" s="82">
        <f t="shared" si="5"/>
        <v>91.997400000000013</v>
      </c>
      <c r="Q45" s="2"/>
      <c r="T45" s="92" t="s">
        <v>99</v>
      </c>
      <c r="U45" s="128" t="s">
        <v>128</v>
      </c>
      <c r="W45" s="131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5">
        <f t="shared" si="1"/>
        <v>1.9947506561679651E-2</v>
      </c>
    </row>
    <row r="46" spans="2:31" x14ac:dyDescent="0.25">
      <c r="O46" s="82">
        <v>1.05</v>
      </c>
      <c r="P46" s="82">
        <f t="shared" si="5"/>
        <v>91.129500000000007</v>
      </c>
      <c r="Q46" s="2"/>
      <c r="T46" s="92" t="s">
        <v>100</v>
      </c>
      <c r="U46" s="128" t="s">
        <v>128</v>
      </c>
      <c r="W46" s="131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5">
        <f t="shared" si="1"/>
        <v>-3.2701111837802888E-3</v>
      </c>
    </row>
    <row r="47" spans="2:31" x14ac:dyDescent="0.25">
      <c r="O47" s="82">
        <v>1.04</v>
      </c>
      <c r="P47" s="82">
        <f t="shared" si="5"/>
        <v>90.261600000000016</v>
      </c>
      <c r="Q47" s="2"/>
      <c r="T47" s="92" t="s">
        <v>101</v>
      </c>
      <c r="U47" s="128">
        <v>81.44</v>
      </c>
      <c r="W47" s="131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5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89.39370000000001</v>
      </c>
      <c r="Q48" s="2"/>
      <c r="T48" s="92" t="s">
        <v>102</v>
      </c>
      <c r="U48" s="128">
        <v>1.1648700000000001</v>
      </c>
      <c r="W48" s="131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5">
        <f t="shared" si="1"/>
        <v>-1.1564449064449089E-2</v>
      </c>
    </row>
    <row r="49" spans="1:31" x14ac:dyDescent="0.25">
      <c r="A49" s="382" t="s">
        <v>1</v>
      </c>
      <c r="B49" s="382" t="s">
        <v>2</v>
      </c>
      <c r="C49" s="382" t="s">
        <v>4</v>
      </c>
      <c r="D49" s="384" t="s">
        <v>5</v>
      </c>
      <c r="E49" s="384" t="s">
        <v>94</v>
      </c>
      <c r="F49" s="384" t="s">
        <v>60</v>
      </c>
      <c r="G49" s="382" t="s">
        <v>3</v>
      </c>
      <c r="H49" s="382" t="s">
        <v>6</v>
      </c>
      <c r="I49" s="384" t="s">
        <v>7</v>
      </c>
      <c r="J49" s="384" t="s">
        <v>95</v>
      </c>
      <c r="K49" s="384" t="s">
        <v>61</v>
      </c>
      <c r="L49" s="382" t="s">
        <v>37</v>
      </c>
      <c r="M49" s="382" t="s">
        <v>38</v>
      </c>
      <c r="O49" s="82">
        <v>1.02</v>
      </c>
      <c r="P49" s="82">
        <f t="shared" si="5"/>
        <v>88.525800000000004</v>
      </c>
      <c r="Q49" s="2"/>
      <c r="T49" s="92" t="s">
        <v>103</v>
      </c>
      <c r="U49" s="128" t="s">
        <v>548</v>
      </c>
      <c r="W49" s="131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5">
        <f t="shared" si="1"/>
        <v>5.4873268879016557E-3</v>
      </c>
    </row>
    <row r="50" spans="1:31" x14ac:dyDescent="0.25">
      <c r="A50" s="385" t="s">
        <v>227</v>
      </c>
      <c r="B50" s="375">
        <v>42548</v>
      </c>
      <c r="C50" s="376">
        <v>40</v>
      </c>
      <c r="D50" s="377">
        <v>59.08</v>
      </c>
      <c r="E50" s="377">
        <v>0</v>
      </c>
      <c r="F50" s="377">
        <f>D50*C50+E50</f>
        <v>2363.1999999999998</v>
      </c>
      <c r="G50" s="375">
        <v>42580</v>
      </c>
      <c r="H50" s="380">
        <v>40</v>
      </c>
      <c r="I50" s="377">
        <v>64.58</v>
      </c>
      <c r="J50" s="377">
        <v>0.06</v>
      </c>
      <c r="K50" s="377">
        <f>I50*H50-J50</f>
        <v>2583.14</v>
      </c>
      <c r="L50" s="375">
        <v>42592</v>
      </c>
      <c r="M50" s="376">
        <v>11.6</v>
      </c>
      <c r="O50" s="82">
        <v>1.01</v>
      </c>
      <c r="P50" s="82">
        <f t="shared" si="5"/>
        <v>87.657900000000012</v>
      </c>
      <c r="Q50" s="2"/>
      <c r="T50" s="92"/>
      <c r="U50" s="128"/>
      <c r="W50" s="131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5">
        <f t="shared" si="1"/>
        <v>-1.0441138084050783E-3</v>
      </c>
    </row>
    <row r="51" spans="1:31" x14ac:dyDescent="0.25">
      <c r="A51" s="386" t="s">
        <v>71</v>
      </c>
      <c r="B51" s="375"/>
      <c r="C51" s="376"/>
      <c r="D51" s="377"/>
      <c r="E51" s="377"/>
      <c r="F51" s="377"/>
      <c r="G51" s="376"/>
      <c r="H51" s="380"/>
      <c r="I51" s="377"/>
      <c r="J51" s="377"/>
      <c r="K51" s="377"/>
      <c r="L51" s="376"/>
      <c r="M51" s="376"/>
      <c r="O51" s="82">
        <v>1</v>
      </c>
      <c r="P51" s="82">
        <f t="shared" si="5"/>
        <v>86.79</v>
      </c>
      <c r="Q51" s="2"/>
      <c r="T51" s="92" t="s">
        <v>104</v>
      </c>
      <c r="U51" s="128" t="s">
        <v>620</v>
      </c>
      <c r="W51" s="131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5">
        <f t="shared" si="1"/>
        <v>5.2232958997144863E-4</v>
      </c>
    </row>
    <row r="52" spans="1:31" x14ac:dyDescent="0.25">
      <c r="A52" s="376"/>
      <c r="B52" s="375"/>
      <c r="C52" s="376"/>
      <c r="D52" s="377"/>
      <c r="E52" s="377"/>
      <c r="F52" s="377"/>
      <c r="G52" s="376"/>
      <c r="H52" s="380"/>
      <c r="I52" s="377"/>
      <c r="J52" s="377"/>
      <c r="K52" s="377"/>
      <c r="L52" s="376"/>
      <c r="M52" s="376"/>
      <c r="O52" s="82">
        <v>0.99</v>
      </c>
      <c r="P52" s="82">
        <f t="shared" si="5"/>
        <v>85.9221</v>
      </c>
      <c r="Q52" s="2"/>
      <c r="T52" s="92" t="s">
        <v>105</v>
      </c>
      <c r="U52" s="128" t="s">
        <v>496</v>
      </c>
      <c r="W52" s="131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5">
        <f t="shared" si="1"/>
        <v>-6.8732978861366645E-3</v>
      </c>
    </row>
    <row r="53" spans="1:31" x14ac:dyDescent="0.25">
      <c r="A53" s="376"/>
      <c r="B53" s="375"/>
      <c r="C53" s="376"/>
      <c r="D53" s="377"/>
      <c r="E53" s="377"/>
      <c r="F53" s="377"/>
      <c r="G53" s="376"/>
      <c r="H53" s="380"/>
      <c r="I53" s="377"/>
      <c r="J53" s="377"/>
      <c r="K53" s="377"/>
      <c r="L53" s="376"/>
      <c r="M53" s="376"/>
      <c r="O53" s="82">
        <v>0.98</v>
      </c>
      <c r="P53" s="82">
        <f t="shared" si="5"/>
        <v>85.054200000000009</v>
      </c>
      <c r="Q53" s="2"/>
      <c r="T53" s="92" t="s">
        <v>106</v>
      </c>
      <c r="U53" s="129">
        <v>2858427</v>
      </c>
      <c r="W53" s="131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5">
        <f t="shared" si="1"/>
        <v>1.9164684113137653E-2</v>
      </c>
    </row>
    <row r="54" spans="1:31" x14ac:dyDescent="0.25">
      <c r="A54" s="376"/>
      <c r="B54" s="375"/>
      <c r="C54" s="376"/>
      <c r="D54" s="377"/>
      <c r="E54" s="377"/>
      <c r="F54" s="377"/>
      <c r="G54" s="376"/>
      <c r="H54" s="380"/>
      <c r="I54" s="377"/>
      <c r="J54" s="377"/>
      <c r="K54" s="377"/>
      <c r="L54" s="376"/>
      <c r="M54" s="376"/>
      <c r="O54" s="82">
        <v>0.97</v>
      </c>
      <c r="P54" s="82">
        <f t="shared" si="5"/>
        <v>84.186300000000003</v>
      </c>
      <c r="T54" s="92" t="s">
        <v>109</v>
      </c>
      <c r="U54" s="129">
        <v>4241430</v>
      </c>
      <c r="W54" s="131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5">
        <f t="shared" si="1"/>
        <v>-3.0307023323231652E-3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5"/>
        <v>83.318399999999997</v>
      </c>
      <c r="T55" s="92" t="s">
        <v>107</v>
      </c>
      <c r="U55" s="128" t="s">
        <v>621</v>
      </c>
      <c r="W55" s="131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5">
        <f t="shared" si="1"/>
        <v>-6.4152919612463499E-3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5"/>
        <v>82.450500000000005</v>
      </c>
      <c r="T56" s="92" t="s">
        <v>110</v>
      </c>
      <c r="U56" s="128">
        <v>13.76</v>
      </c>
      <c r="W56" s="131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5">
        <f t="shared" si="1"/>
        <v>-1.0237138784501831E-2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5"/>
        <v>81.582599999999999</v>
      </c>
      <c r="T57" s="92" t="s">
        <v>111</v>
      </c>
      <c r="U57" s="128">
        <v>5.65</v>
      </c>
      <c r="W57" s="131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5">
        <f t="shared" si="1"/>
        <v>1.1534932494429162E-2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5"/>
        <v>80.714700000000008</v>
      </c>
      <c r="T58" s="92" t="s">
        <v>108</v>
      </c>
      <c r="U58" s="128" t="s">
        <v>576</v>
      </c>
      <c r="W58" s="131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5">
        <f t="shared" si="1"/>
        <v>-2.6208884811951272E-4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5"/>
        <v>79.846800000000016</v>
      </c>
      <c r="W59" s="131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5">
        <f t="shared" si="1"/>
        <v>-3.3955857385398192E-3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5"/>
        <v>78.97890000000001</v>
      </c>
      <c r="W60" s="131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5">
        <f t="shared" si="1"/>
        <v>-3.916449086162066E-4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5"/>
        <v>78.111000000000004</v>
      </c>
      <c r="W61" s="131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5">
        <f t="shared" si="1"/>
        <v>3.405816085931157E-3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5">
        <f t="shared" si="1"/>
        <v>1.0456651224354907E-2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5">
        <f t="shared" si="1"/>
        <v>5.1889302820649075E-3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5">
        <f t="shared" si="1"/>
        <v>1.9997333688839269E-3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76"/>
      <c r="I65" s="377"/>
      <c r="J65" s="377"/>
      <c r="K65" s="377"/>
      <c r="L65" s="376"/>
      <c r="M65" s="376"/>
      <c r="W65" s="131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5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1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5" t="e">
        <f t="shared" si="1"/>
        <v>#DIV/0!</v>
      </c>
    </row>
    <row r="67" spans="1:31" ht="15.75" thickBot="1" x14ac:dyDescent="0.3">
      <c r="A67" s="465" t="s">
        <v>195</v>
      </c>
      <c r="B67" s="466"/>
      <c r="C67" s="467">
        <f>SumByColor($A$19,C50:C65)</f>
        <v>0</v>
      </c>
      <c r="D67" s="467"/>
      <c r="E67" s="467"/>
      <c r="F67" s="468">
        <f>SumByColor($A$19,F50:F65)</f>
        <v>0</v>
      </c>
      <c r="G67" s="467"/>
      <c r="H67" s="467">
        <f>SumByColor($A$19,H50:H65)</f>
        <v>0</v>
      </c>
      <c r="I67" s="467"/>
      <c r="J67" s="467"/>
      <c r="K67" s="468">
        <f>SumByColor($A$19,K50:K65)</f>
        <v>0</v>
      </c>
      <c r="L67" s="467"/>
      <c r="M67" s="468">
        <f>SumByColor($A$19,M50:M65)</f>
        <v>0</v>
      </c>
      <c r="W67" s="131">
        <v>42739</v>
      </c>
      <c r="X67" s="10" t="s">
        <v>301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5" t="e">
        <f>#REF!/AC70-1</f>
        <v>#REF!</v>
      </c>
    </row>
    <row r="69" spans="1:31" x14ac:dyDescent="0.25">
      <c r="W69" s="131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5" t="e">
        <f>AC70/AC71-1</f>
        <v>#DIV/0!</v>
      </c>
    </row>
    <row r="70" spans="1:31" x14ac:dyDescent="0.25">
      <c r="W70" s="131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336" priority="9">
      <formula>F36&gt;0</formula>
    </cfRule>
    <cfRule type="expression" dxfId="1335" priority="10">
      <formula>F36&lt;0</formula>
    </cfRule>
  </conditionalFormatting>
  <conditionalFormatting sqref="F25:F35">
    <cfRule type="expression" dxfId="1334" priority="7">
      <formula>F25&gt;0</formula>
    </cfRule>
    <cfRule type="expression" dxfId="1333" priority="8">
      <formula>F25&lt;0</formula>
    </cfRule>
  </conditionalFormatting>
  <conditionalFormatting sqref="H25:H35">
    <cfRule type="expression" dxfId="1332" priority="5">
      <formula>H25&gt;0</formula>
    </cfRule>
    <cfRule type="expression" dxfId="1331" priority="6">
      <formula>H25&lt;0</formula>
    </cfRule>
  </conditionalFormatting>
  <conditionalFormatting sqref="Q7">
    <cfRule type="expression" dxfId="1330" priority="3">
      <formula>Q7&gt;0</formula>
    </cfRule>
    <cfRule type="expression" dxfId="1329" priority="4">
      <formula>Q7&lt;0</formula>
    </cfRule>
  </conditionalFormatting>
  <conditionalFormatting sqref="Q8">
    <cfRule type="expression" dxfId="1328" priority="1">
      <formula>Q8&gt;0</formula>
    </cfRule>
    <cfRule type="expression" dxfId="132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52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2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1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5">
        <f>AC2/AC3-1</f>
        <v>2.1945866861741159E-3</v>
      </c>
    </row>
    <row r="3" spans="1:31" x14ac:dyDescent="0.25">
      <c r="A3" s="23" t="s">
        <v>71</v>
      </c>
      <c r="B3" s="452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2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7">
        <f>IF(Q2=0, Q4, (F18-K18-M18)/Q2)</f>
        <v>69.406599999999997</v>
      </c>
      <c r="T3" s="1"/>
      <c r="W3" s="131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5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73.64</v>
      </c>
      <c r="R4" s="519">
        <v>-3.8300000000000001E-2</v>
      </c>
      <c r="T4" s="160"/>
      <c r="U4" s="1"/>
      <c r="W4" s="131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5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7364</v>
      </c>
      <c r="W5" s="131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5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6940.66</v>
      </c>
      <c r="W6" s="131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5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581.63999999999942</v>
      </c>
      <c r="R7">
        <v>100</v>
      </c>
      <c r="W7" s="131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5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423.34000000000015</v>
      </c>
      <c r="W8" s="131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5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6.099419939890445E-2</v>
      </c>
      <c r="W9" s="131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5">
        <f t="shared" si="1"/>
        <v>-7.3402417962004085E-3</v>
      </c>
    </row>
    <row r="10" spans="1:31" x14ac:dyDescent="0.25">
      <c r="H10" s="71"/>
      <c r="O10" s="11" t="s">
        <v>210</v>
      </c>
      <c r="P10" s="34"/>
      <c r="Q10" s="2">
        <f>M66</f>
        <v>158.29999999999927</v>
      </c>
      <c r="W10" s="131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5">
        <f t="shared" si="1"/>
        <v>8.4179970972424467E-3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1.49E-2</v>
      </c>
      <c r="W11" s="131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5">
        <f t="shared" si="1"/>
        <v>-2.5183927560837538E-2</v>
      </c>
    </row>
    <row r="12" spans="1:31" x14ac:dyDescent="0.25">
      <c r="H12" s="71"/>
      <c r="W12" s="131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5">
        <f t="shared" si="1"/>
        <v>9.5700614197971046E-3</v>
      </c>
    </row>
    <row r="13" spans="1:31" x14ac:dyDescent="0.25">
      <c r="H13" s="71"/>
      <c r="W13" s="131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5">
        <f t="shared" si="1"/>
        <v>-2.2206703910614412E-2</v>
      </c>
    </row>
    <row r="14" spans="1:31" x14ac:dyDescent="0.25">
      <c r="H14" s="71"/>
      <c r="W14" s="131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5">
        <f t="shared" si="1"/>
        <v>-1.0092630996820229E-2</v>
      </c>
    </row>
    <row r="15" spans="1:31" x14ac:dyDescent="0.25">
      <c r="H15" s="71"/>
      <c r="W15" s="131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5">
        <f t="shared" si="1"/>
        <v>-1.1885245901639419E-2</v>
      </c>
    </row>
    <row r="16" spans="1:31" x14ac:dyDescent="0.25">
      <c r="H16" s="71"/>
      <c r="W16" s="131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5">
        <f t="shared" si="1"/>
        <v>5.3564070869385194E-3</v>
      </c>
    </row>
    <row r="17" spans="1:31" x14ac:dyDescent="0.25">
      <c r="W17" s="131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5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1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5">
        <f t="shared" si="1"/>
        <v>3.1684805069567279E-3</v>
      </c>
    </row>
    <row r="19" spans="1:31" ht="15.75" thickBot="1" x14ac:dyDescent="0.3">
      <c r="A19" s="351" t="s">
        <v>195</v>
      </c>
      <c r="B19" s="352"/>
      <c r="C19" s="353">
        <f>SumByColor($A$19,C2:C17)</f>
        <v>100</v>
      </c>
      <c r="D19" s="353"/>
      <c r="E19" s="353"/>
      <c r="F19" s="354">
        <f>SumByColor($A$19,F2:F17)</f>
        <v>7168</v>
      </c>
      <c r="G19" s="353"/>
      <c r="H19" s="353">
        <f>SumByColor($A$19,H2:H17)</f>
        <v>100</v>
      </c>
      <c r="I19" s="353"/>
      <c r="J19" s="353"/>
      <c r="K19" s="354">
        <f>SumByColor($A$19,K3:K17)</f>
        <v>3592</v>
      </c>
      <c r="L19" s="353"/>
      <c r="M19" s="354">
        <f>SumByColor($A$19,M2:M17)</f>
        <v>52</v>
      </c>
      <c r="W19" s="131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5">
        <f t="shared" si="1"/>
        <v>-4.115790917821327E-3</v>
      </c>
    </row>
    <row r="20" spans="1:31" x14ac:dyDescent="0.25">
      <c r="W20" s="131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5">
        <f t="shared" si="1"/>
        <v>-1.005025125628134E-2</v>
      </c>
    </row>
    <row r="21" spans="1:31" x14ac:dyDescent="0.25">
      <c r="W21" s="131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5">
        <f t="shared" si="1"/>
        <v>1.5166138149731001E-2</v>
      </c>
    </row>
    <row r="22" spans="1:31" x14ac:dyDescent="0.25">
      <c r="W22" s="131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5">
        <f t="shared" si="1"/>
        <v>1.6395739910313845E-2</v>
      </c>
    </row>
    <row r="23" spans="1:31" x14ac:dyDescent="0.25">
      <c r="W23" s="131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5">
        <f t="shared" si="1"/>
        <v>-1.4636840651753635E-2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5">
        <f t="shared" si="1"/>
        <v>-9.5733041575493116E-3</v>
      </c>
    </row>
    <row r="25" spans="1:31" x14ac:dyDescent="0.25">
      <c r="B25" s="190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8">
        <f t="shared" ref="H25" si="4">(E25-D25)/D25</f>
        <v>6.062276109120939E-3</v>
      </c>
      <c r="I25" s="40"/>
      <c r="J25" s="40"/>
      <c r="K25" s="40"/>
      <c r="L25" s="40"/>
      <c r="W25" s="131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5">
        <f t="shared" si="1"/>
        <v>-1.2825705413797572E-2</v>
      </c>
    </row>
    <row r="26" spans="1:31" x14ac:dyDescent="0.25">
      <c r="B26" s="190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8">
        <f t="shared" ref="H26" si="7">(E26-D26)/D26</f>
        <v>1.0608983190961643E-2</v>
      </c>
      <c r="I26" s="40"/>
      <c r="J26" s="40"/>
      <c r="K26" s="40"/>
      <c r="L26" s="40"/>
      <c r="W26" s="131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5">
        <f t="shared" si="1"/>
        <v>9.8159509202453421E-3</v>
      </c>
    </row>
    <row r="27" spans="1:31" x14ac:dyDescent="0.25">
      <c r="A27">
        <v>0</v>
      </c>
      <c r="B27" s="190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8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59">
        <f>(E27-K27)/E27</f>
        <v>4.9800851531383118E-2</v>
      </c>
      <c r="W27" s="131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5">
        <f t="shared" si="1"/>
        <v>4.5193097781428548E-3</v>
      </c>
    </row>
    <row r="28" spans="1:31" x14ac:dyDescent="0.25">
      <c r="B28" s="190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11">C28*(E28-D28)</f>
        <v>-167.00000000000017</v>
      </c>
      <c r="G28" s="40">
        <f t="shared" ref="G28:G35" si="12">D28*C28</f>
        <v>7168.0000000000009</v>
      </c>
      <c r="H28" s="228">
        <f t="shared" ref="H28:H35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59">
        <f t="shared" ref="L28:L32" si="15">(E28-K28)/E28</f>
        <v>-2.5139265819168762E-2</v>
      </c>
      <c r="W28" s="131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5">
        <f t="shared" si="1"/>
        <v>-4.9094934236228793E-2</v>
      </c>
    </row>
    <row r="29" spans="1:31" x14ac:dyDescent="0.25">
      <c r="A29">
        <v>100</v>
      </c>
      <c r="B29" s="190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8">
        <f t="shared" si="13"/>
        <v>1.8202184262110816E-3</v>
      </c>
      <c r="I29" s="40"/>
      <c r="J29" s="40"/>
      <c r="K29" s="40">
        <f t="shared" si="14"/>
        <v>71.42</v>
      </c>
      <c r="L29" s="159">
        <f t="shared" si="15"/>
        <v>1.8169112508734516E-3</v>
      </c>
      <c r="W29" s="131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5">
        <f t="shared" si="1"/>
        <v>-7.2398190045247501E-3</v>
      </c>
    </row>
    <row r="30" spans="1:31" x14ac:dyDescent="0.25">
      <c r="A30">
        <v>50</v>
      </c>
      <c r="B30" s="190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8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59">
        <f t="shared" si="15"/>
        <v>0.10912947658402199</v>
      </c>
      <c r="W30" s="131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5">
        <f t="shared" si="1"/>
        <v>1.8835616438356073E-2</v>
      </c>
    </row>
    <row r="31" spans="1:31" x14ac:dyDescent="0.25">
      <c r="A31">
        <v>50</v>
      </c>
      <c r="B31" s="190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8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59">
        <f t="shared" si="15"/>
        <v>9.4898695531501626E-2</v>
      </c>
      <c r="W31" s="131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5">
        <f t="shared" si="1"/>
        <v>-1.8867924528301772E-2</v>
      </c>
    </row>
    <row r="32" spans="1:31" x14ac:dyDescent="0.25">
      <c r="A32">
        <v>50</v>
      </c>
      <c r="B32" s="190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8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59">
        <f t="shared" si="15"/>
        <v>3.3287285029602529E-2</v>
      </c>
      <c r="W32" s="131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5">
        <f t="shared" si="1"/>
        <v>-6.1649113793990074E-3</v>
      </c>
    </row>
    <row r="33" spans="1:31" x14ac:dyDescent="0.25">
      <c r="A33" s="30">
        <v>42902</v>
      </c>
      <c r="B33" s="190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8">
        <f t="shared" si="13"/>
        <v>3.8941160841665018E-2</v>
      </c>
      <c r="I33" s="40"/>
      <c r="J33" s="40">
        <v>198.22</v>
      </c>
      <c r="K33" s="40">
        <f t="shared" ref="K33:K35" si="16">(G33-J33)/C33</f>
        <v>65.288800000000009</v>
      </c>
      <c r="L33" s="159">
        <f t="shared" ref="L33:L35" si="17">(E33-K33)/E33</f>
        <v>9.2580958999304977E-2</v>
      </c>
      <c r="W33" s="131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5">
        <f t="shared" si="1"/>
        <v>2.4462469421913102E-3</v>
      </c>
    </row>
    <row r="34" spans="1:31" x14ac:dyDescent="0.25">
      <c r="B34" s="190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8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59">
        <f t="shared" si="17"/>
        <v>0.23826320501342887</v>
      </c>
      <c r="W34" s="131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5">
        <f t="shared" si="1"/>
        <v>2.1704814522494065E-2</v>
      </c>
    </row>
    <row r="35" spans="1:31" x14ac:dyDescent="0.25">
      <c r="A35">
        <v>100</v>
      </c>
      <c r="B35" s="190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11"/>
        <v>519.33999999999969</v>
      </c>
      <c r="G35" s="40">
        <f t="shared" si="12"/>
        <v>6940.66</v>
      </c>
      <c r="H35" s="228">
        <f t="shared" si="13"/>
        <v>7.4825737033653819E-2</v>
      </c>
      <c r="I35" s="40"/>
      <c r="J35" s="40">
        <v>678</v>
      </c>
      <c r="K35" s="40">
        <f t="shared" si="16"/>
        <v>62.626599999999996</v>
      </c>
      <c r="L35" s="159">
        <f t="shared" si="17"/>
        <v>0.16050134048257372</v>
      </c>
      <c r="W35" s="131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5">
        <f t="shared" si="1"/>
        <v>-1.7575600930472945E-2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5">
        <f t="shared" si="1"/>
        <v>3.1112263417163444E-3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5">
        <f t="shared" si="1"/>
        <v>1.4732965009208066E-2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5">
        <f t="shared" si="1"/>
        <v>-1.0027347310847867E-2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5">
        <f t="shared" si="1"/>
        <v>-1.1838888173980044E-2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  <c r="W40" s="131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5">
        <f t="shared" si="1"/>
        <v>3.5167177301185681E-2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81.004000000000005</v>
      </c>
      <c r="Q41" s="2"/>
      <c r="W41" s="131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5">
        <f t="shared" si="1"/>
        <v>3.1181318681318571E-2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8">O42*$Q$4</f>
        <v>80.267600000000002</v>
      </c>
      <c r="Q42" s="2"/>
      <c r="T42" s="90" t="s">
        <v>112</v>
      </c>
      <c r="W42" s="131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5">
        <f t="shared" si="1"/>
        <v>7.4730141156931218E-3</v>
      </c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8"/>
        <v>79.531200000000013</v>
      </c>
      <c r="Q43" s="2"/>
      <c r="T43" s="126" t="s">
        <v>97</v>
      </c>
      <c r="U43" s="127">
        <v>68.349999999999994</v>
      </c>
      <c r="W43" s="131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5">
        <f t="shared" si="1"/>
        <v>-1.2031719989062051E-2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8"/>
        <v>78.794800000000009</v>
      </c>
      <c r="Q44" s="2"/>
      <c r="T44" s="92" t="s">
        <v>98</v>
      </c>
      <c r="U44" s="128">
        <v>68.5</v>
      </c>
      <c r="W44" s="131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5">
        <f t="shared" si="1"/>
        <v>-4.8979591836734171E-3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8"/>
        <v>78.058400000000006</v>
      </c>
      <c r="Q45" s="2"/>
      <c r="T45" s="92" t="s">
        <v>99</v>
      </c>
      <c r="U45" s="128" t="s">
        <v>128</v>
      </c>
      <c r="W45" s="131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5">
        <f t="shared" si="1"/>
        <v>1.4988418040604579E-3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8"/>
        <v>77.322000000000003</v>
      </c>
      <c r="Q46" s="2"/>
      <c r="T46" s="92" t="s">
        <v>100</v>
      </c>
      <c r="U46" s="128" t="s">
        <v>128</v>
      </c>
      <c r="W46" s="131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5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8"/>
        <v>76.585599999999999</v>
      </c>
      <c r="Q47" s="2"/>
      <c r="T47" s="92" t="s">
        <v>101</v>
      </c>
      <c r="U47" s="128">
        <v>79.16</v>
      </c>
      <c r="W47" s="131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5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8"/>
        <v>75.849199999999996</v>
      </c>
      <c r="Q48" s="2"/>
      <c r="T48" s="92" t="s">
        <v>102</v>
      </c>
      <c r="U48" s="128">
        <v>0.71672999999999998</v>
      </c>
      <c r="W48" s="131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5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8"/>
        <v>75.112800000000007</v>
      </c>
      <c r="Q49" s="2"/>
      <c r="T49" s="92" t="s">
        <v>121</v>
      </c>
      <c r="U49" s="128" t="s">
        <v>539</v>
      </c>
      <c r="W49" s="131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5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8"/>
        <v>74.376400000000004</v>
      </c>
      <c r="Q50" s="2"/>
      <c r="T50" s="92"/>
      <c r="U50" s="128"/>
      <c r="W50" s="131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5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8"/>
        <v>73.64</v>
      </c>
      <c r="Q51" s="2"/>
      <c r="T51" s="92" t="s">
        <v>104</v>
      </c>
      <c r="U51" s="128" t="s">
        <v>622</v>
      </c>
      <c r="W51" s="131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5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8"/>
        <v>72.903599999999997</v>
      </c>
      <c r="Q52" s="2"/>
      <c r="T52" s="92" t="s">
        <v>105</v>
      </c>
      <c r="U52" s="128" t="s">
        <v>321</v>
      </c>
      <c r="W52" s="131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5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8"/>
        <v>72.167199999999994</v>
      </c>
      <c r="Q53" s="2"/>
      <c r="T53" s="92" t="s">
        <v>106</v>
      </c>
      <c r="U53" s="129">
        <v>3269613</v>
      </c>
      <c r="W53" s="131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5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8"/>
        <v>71.430800000000005</v>
      </c>
      <c r="T54" s="92" t="s">
        <v>109</v>
      </c>
      <c r="U54" s="129">
        <v>2991540</v>
      </c>
      <c r="W54" s="131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5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8"/>
        <v>70.694400000000002</v>
      </c>
      <c r="T55" s="92" t="s">
        <v>107</v>
      </c>
      <c r="U55" s="128" t="s">
        <v>623</v>
      </c>
      <c r="W55" s="131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5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8"/>
        <v>69.957999999999998</v>
      </c>
      <c r="T56" s="92" t="s">
        <v>110</v>
      </c>
      <c r="U56" s="128">
        <v>15.46</v>
      </c>
      <c r="W56" s="131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5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8"/>
        <v>69.221599999999995</v>
      </c>
      <c r="T57" s="92" t="s">
        <v>111</v>
      </c>
      <c r="U57" s="128">
        <v>4.43</v>
      </c>
      <c r="W57" s="131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5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8"/>
        <v>68.485200000000006</v>
      </c>
      <c r="T58" s="92" t="s">
        <v>108</v>
      </c>
      <c r="U58" s="128" t="s">
        <v>577</v>
      </c>
      <c r="W58" s="131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5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8"/>
        <v>67.748800000000003</v>
      </c>
      <c r="W59" s="131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5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8"/>
        <v>67.0124</v>
      </c>
      <c r="W60" s="131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5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8"/>
        <v>66.275999999999996</v>
      </c>
      <c r="W61" s="131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5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5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5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5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5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1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5">
        <f t="shared" si="1"/>
        <v>1.620089104900746E-3</v>
      </c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5" t="e">
        <f>AC67/#REF!-1</f>
        <v>#REF!</v>
      </c>
    </row>
    <row r="68" spans="1:31" x14ac:dyDescent="0.25">
      <c r="A68" s="538" t="s">
        <v>273</v>
      </c>
      <c r="B68" s="520">
        <v>42619</v>
      </c>
      <c r="C68" s="521">
        <v>20</v>
      </c>
      <c r="D68" s="523">
        <v>72.08</v>
      </c>
      <c r="E68" s="523">
        <v>0</v>
      </c>
      <c r="F68" s="523">
        <f>C68*D68+E68</f>
        <v>1441.6</v>
      </c>
      <c r="G68" s="520">
        <v>42683</v>
      </c>
      <c r="H68" s="539">
        <v>35</v>
      </c>
      <c r="I68" s="523">
        <v>71.36</v>
      </c>
      <c r="J68" s="523">
        <v>0.05</v>
      </c>
      <c r="K68" s="523">
        <f>H68*I68-J68</f>
        <v>2497.5499999999997</v>
      </c>
      <c r="L68" s="520">
        <v>42642</v>
      </c>
      <c r="M68" s="523">
        <v>10</v>
      </c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1:31" x14ac:dyDescent="0.25">
      <c r="A69" s="540" t="s">
        <v>71</v>
      </c>
      <c r="B69" s="520">
        <v>42621</v>
      </c>
      <c r="C69" s="521">
        <v>20</v>
      </c>
      <c r="D69" s="523">
        <v>70.45</v>
      </c>
      <c r="E69" s="523">
        <v>0</v>
      </c>
      <c r="F69" s="523">
        <f>C69*D69+E69</f>
        <v>1409</v>
      </c>
      <c r="G69" s="520">
        <v>42684</v>
      </c>
      <c r="H69" s="539">
        <v>30</v>
      </c>
      <c r="I69" s="523">
        <v>73.28</v>
      </c>
      <c r="J69" s="523">
        <v>0.05</v>
      </c>
      <c r="K69" s="523">
        <f>H69*I69-J69</f>
        <v>2198.35</v>
      </c>
      <c r="L69" s="521"/>
      <c r="M69" s="521"/>
      <c r="AD69" s="2">
        <f>Y68-Z68</f>
        <v>0</v>
      </c>
      <c r="AE69" s="135" t="e">
        <f>AC68/AC69-1</f>
        <v>#DIV/0!</v>
      </c>
    </row>
    <row r="70" spans="1:31" x14ac:dyDescent="0.25">
      <c r="A70" s="521"/>
      <c r="B70" s="520">
        <v>42648</v>
      </c>
      <c r="C70" s="521">
        <v>25</v>
      </c>
      <c r="D70" s="523">
        <v>67.88</v>
      </c>
      <c r="E70" s="523">
        <v>0</v>
      </c>
      <c r="F70" s="523">
        <f>C70*D70+E70</f>
        <v>1697</v>
      </c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65</v>
      </c>
      <c r="D84" s="543"/>
      <c r="E84" s="543"/>
      <c r="F84" s="543">
        <f>SUM(F68:F72)</f>
        <v>4547.6000000000004</v>
      </c>
      <c r="G84" s="542"/>
      <c r="H84" s="565">
        <f>SUM(H68:H71)</f>
        <v>65</v>
      </c>
      <c r="I84" s="543"/>
      <c r="J84" s="543"/>
      <c r="K84" s="543">
        <f>SUM(K68:K71)</f>
        <v>4695.8999999999996</v>
      </c>
      <c r="L84" s="542"/>
      <c r="M84" s="543">
        <f>SUM(M68:M76)</f>
        <v>10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188" t="s">
        <v>113</v>
      </c>
      <c r="C88" s="188" t="s">
        <v>146</v>
      </c>
      <c r="D88" s="189" t="s">
        <v>145</v>
      </c>
      <c r="E88" s="191" t="s">
        <v>147</v>
      </c>
      <c r="F88" s="191" t="s">
        <v>65</v>
      </c>
      <c r="G88" s="226" t="s">
        <v>151</v>
      </c>
      <c r="H88" s="226" t="s">
        <v>88</v>
      </c>
      <c r="I88" s="226" t="s">
        <v>154</v>
      </c>
    </row>
    <row r="89" spans="1:13" x14ac:dyDescent="0.25">
      <c r="B89" s="190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8">
        <f t="shared" ref="H89:H100" si="21">(E89-D89)/D89</f>
        <v>-1.1098779134294991E-3</v>
      </c>
      <c r="I89" s="40"/>
    </row>
    <row r="90" spans="1:13" x14ac:dyDescent="0.25">
      <c r="B90" s="190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8">
        <f t="shared" si="21"/>
        <v>-4.5782463928967579E-3</v>
      </c>
      <c r="I90" s="40"/>
    </row>
    <row r="91" spans="1:13" x14ac:dyDescent="0.25">
      <c r="B91" s="190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8">
        <f t="shared" si="21"/>
        <v>-8.3491194836174676E-3</v>
      </c>
      <c r="I91" s="40"/>
    </row>
    <row r="92" spans="1:13" x14ac:dyDescent="0.25">
      <c r="B92" s="190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8">
        <f t="shared" si="21"/>
        <v>3.4378727285484397E-3</v>
      </c>
      <c r="I92" s="40"/>
    </row>
    <row r="93" spans="1:13" x14ac:dyDescent="0.25">
      <c r="B93" s="190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8">
        <f t="shared" si="21"/>
        <v>1.7750648986178355E-2</v>
      </c>
      <c r="I93" s="40"/>
    </row>
    <row r="94" spans="1:13" x14ac:dyDescent="0.25">
      <c r="B94" s="190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8">
        <f t="shared" si="21"/>
        <v>-1.0734582193222488E-2</v>
      </c>
      <c r="I94" s="40"/>
    </row>
    <row r="95" spans="1:13" x14ac:dyDescent="0.25">
      <c r="B95" s="190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8">
        <f t="shared" si="21"/>
        <v>-4.5113309478706287E-2</v>
      </c>
      <c r="I95" s="40"/>
    </row>
    <row r="96" spans="1:13" x14ac:dyDescent="0.25">
      <c r="B96" s="190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8">
        <f t="shared" si="21"/>
        <v>-4.0670857136308754E-2</v>
      </c>
      <c r="I96" s="40"/>
    </row>
    <row r="97" spans="2:9" x14ac:dyDescent="0.25">
      <c r="B97" s="190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8">
        <f t="shared" si="21"/>
        <v>-1.0875357402749307E-2</v>
      </c>
      <c r="I97" s="40"/>
    </row>
    <row r="98" spans="2:9" x14ac:dyDescent="0.25">
      <c r="B98" s="190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8">
        <f t="shared" si="21"/>
        <v>-2.1372541155035086E-3</v>
      </c>
      <c r="I98" s="40"/>
    </row>
    <row r="99" spans="2:9" x14ac:dyDescent="0.25">
      <c r="B99" s="190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8">
        <f t="shared" si="21"/>
        <v>-1.0302367023257689E-2</v>
      </c>
      <c r="I99" s="40"/>
    </row>
    <row r="100" spans="2:9" x14ac:dyDescent="0.25">
      <c r="B100" s="190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8">
        <f t="shared" si="21"/>
        <v>-2.9967396847408339E-3</v>
      </c>
      <c r="I100" s="40"/>
    </row>
    <row r="101" spans="2:9" x14ac:dyDescent="0.25">
      <c r="B101" s="190">
        <v>42701</v>
      </c>
      <c r="C101" s="10">
        <v>0</v>
      </c>
      <c r="D101" s="40"/>
      <c r="E101" s="40"/>
      <c r="F101" s="40">
        <v>158.30000000000001</v>
      </c>
      <c r="G101" s="40"/>
      <c r="H101" s="228"/>
      <c r="I101" s="40"/>
    </row>
    <row r="102" spans="2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2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2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2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2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2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2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2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2:9" x14ac:dyDescent="0.25">
      <c r="B110" s="190"/>
      <c r="C110" s="10"/>
      <c r="D110" s="40"/>
      <c r="E110" s="40"/>
      <c r="F110" s="40"/>
      <c r="G110" s="40"/>
      <c r="H110" s="228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6" priority="21">
      <formula>F47&gt;0</formula>
    </cfRule>
    <cfRule type="expression" dxfId="1325" priority="22">
      <formula>F47&lt;0</formula>
    </cfRule>
  </conditionalFormatting>
  <conditionalFormatting sqref="Q7">
    <cfRule type="expression" dxfId="1324" priority="19">
      <formula>Q7&gt;0</formula>
    </cfRule>
    <cfRule type="expression" dxfId="1323" priority="20">
      <formula>Q7&lt;0</formula>
    </cfRule>
  </conditionalFormatting>
  <conditionalFormatting sqref="Q8">
    <cfRule type="expression" dxfId="1322" priority="17">
      <formula>Q8&gt;0</formula>
    </cfRule>
    <cfRule type="expression" dxfId="1321" priority="18">
      <formula>Q8&lt;0</formula>
    </cfRule>
  </conditionalFormatting>
  <conditionalFormatting sqref="F25:F46">
    <cfRule type="expression" dxfId="1320" priority="15">
      <formula>F25&gt;0</formula>
    </cfRule>
    <cfRule type="expression" dxfId="1319" priority="16">
      <formula>F25&lt;0</formula>
    </cfRule>
  </conditionalFormatting>
  <conditionalFormatting sqref="H25:H46">
    <cfRule type="expression" dxfId="1318" priority="13">
      <formula>H25&gt;0</formula>
    </cfRule>
    <cfRule type="expression" dxfId="1317" priority="14">
      <formula>H25&lt;0</formula>
    </cfRule>
  </conditionalFormatting>
  <conditionalFormatting sqref="F89:F110">
    <cfRule type="expression" dxfId="1316" priority="11">
      <formula>F89&gt;0</formula>
    </cfRule>
    <cfRule type="expression" dxfId="1315" priority="12">
      <formula>F89&lt;0</formula>
    </cfRule>
  </conditionalFormatting>
  <conditionalFormatting sqref="H89:H110">
    <cfRule type="expression" dxfId="1314" priority="9">
      <formula>H89&gt;0</formula>
    </cfRule>
    <cfRule type="expression" dxfId="1313" priority="10">
      <formula>H89&lt;0</formula>
    </cfRule>
  </conditionalFormatting>
  <conditionalFormatting sqref="Q10">
    <cfRule type="expression" dxfId="1312" priority="7">
      <formula>Q10&gt;0</formula>
    </cfRule>
    <cfRule type="expression" dxfId="1311" priority="8">
      <formula>Q10&lt;0</formula>
    </cfRule>
  </conditionalFormatting>
  <conditionalFormatting sqref="J25:J38">
    <cfRule type="expression" dxfId="1310" priority="5">
      <formula>J25&gt;0</formula>
    </cfRule>
    <cfRule type="expression" dxfId="1309" priority="6">
      <formula>J25&lt;0</formula>
    </cfRule>
  </conditionalFormatting>
  <conditionalFormatting sqref="K25:K38">
    <cfRule type="expression" dxfId="1308" priority="3">
      <formula>K25&gt;0</formula>
    </cfRule>
    <cfRule type="expression" dxfId="1307" priority="4">
      <formula>K25&lt;0</formula>
    </cfRule>
  </conditionalFormatting>
  <conditionalFormatting sqref="L25:L38">
    <cfRule type="expression" dxfId="1306" priority="1">
      <formula>L25&gt;0</formula>
    </cfRule>
    <cfRule type="expression" dxfId="130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31.9</v>
      </c>
      <c r="Y2" s="40">
        <v>32.130000000000003</v>
      </c>
      <c r="Z2" s="40">
        <v>31.57</v>
      </c>
      <c r="AA2" s="360">
        <v>31.67</v>
      </c>
      <c r="AB2" s="94">
        <v>341300</v>
      </c>
      <c r="AC2" s="240">
        <v>31.67</v>
      </c>
      <c r="AD2" s="2">
        <f>Y2-Z2</f>
        <v>0.56000000000000227</v>
      </c>
      <c r="AE2" s="135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33.65</v>
      </c>
      <c r="T3" s="119"/>
      <c r="W3" s="93">
        <v>42829</v>
      </c>
      <c r="X3" s="360">
        <v>32.1</v>
      </c>
      <c r="Y3" s="40">
        <v>32.1</v>
      </c>
      <c r="Z3" s="40">
        <v>31.67</v>
      </c>
      <c r="AA3" s="360">
        <v>31.79</v>
      </c>
      <c r="AB3" s="94">
        <v>466600</v>
      </c>
      <c r="AC3" s="240">
        <v>31.79</v>
      </c>
      <c r="AD3" s="2">
        <f>Y3-Z3</f>
        <v>0.42999999999999972</v>
      </c>
      <c r="AE3" s="135">
        <f>AC3/AC4-1</f>
        <v>-9.6573208722742221E-3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33.65</v>
      </c>
      <c r="R4" s="497">
        <v>-1.8E-3</v>
      </c>
      <c r="T4" s="119"/>
      <c r="W4" s="93">
        <v>42828</v>
      </c>
      <c r="X4" s="360">
        <v>31.84</v>
      </c>
      <c r="Y4" s="40">
        <v>32.200000000000003</v>
      </c>
      <c r="Z4" s="40">
        <v>31.82</v>
      </c>
      <c r="AA4" s="360">
        <v>32.1</v>
      </c>
      <c r="AB4" s="94">
        <v>472300</v>
      </c>
      <c r="AC4" s="240">
        <v>32.1</v>
      </c>
      <c r="AD4" s="2">
        <f t="shared" ref="AD4:AD67" si="0">Y4-Z4</f>
        <v>0.38000000000000256</v>
      </c>
      <c r="AE4" s="135">
        <f t="shared" ref="AE4:AE67" si="1">AC4/AC5-1</f>
        <v>8.4825636192271681E-3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31.85</v>
      </c>
      <c r="Y5" s="40">
        <v>32.090000000000003</v>
      </c>
      <c r="Z5" s="40">
        <v>31.76</v>
      </c>
      <c r="AA5" s="360">
        <v>31.83</v>
      </c>
      <c r="AB5" s="94">
        <v>318100</v>
      </c>
      <c r="AC5" s="240">
        <v>31.83</v>
      </c>
      <c r="AD5" s="2">
        <f t="shared" si="0"/>
        <v>0.33000000000000185</v>
      </c>
      <c r="AE5" s="135">
        <f t="shared" si="1"/>
        <v>-1.5683814303638632E-3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31.52</v>
      </c>
      <c r="Y6" s="40">
        <v>31.92</v>
      </c>
      <c r="Z6" s="40">
        <v>31.46</v>
      </c>
      <c r="AA6" s="360">
        <v>31.88</v>
      </c>
      <c r="AB6" s="94">
        <v>261900</v>
      </c>
      <c r="AC6" s="240">
        <v>31.88</v>
      </c>
      <c r="AD6" s="2">
        <f t="shared" si="0"/>
        <v>0.46000000000000085</v>
      </c>
      <c r="AE6" s="135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4"/>
      <c r="W7" s="93">
        <v>42823</v>
      </c>
      <c r="X7" s="360">
        <v>31.87</v>
      </c>
      <c r="Y7" s="40">
        <v>31.88</v>
      </c>
      <c r="Z7" s="40">
        <v>31.46</v>
      </c>
      <c r="AA7" s="360">
        <v>31.68</v>
      </c>
      <c r="AB7" s="94">
        <v>462100</v>
      </c>
      <c r="AC7" s="240">
        <v>31.68</v>
      </c>
      <c r="AD7" s="2">
        <f t="shared" si="0"/>
        <v>0.41999999999999815</v>
      </c>
      <c r="AE7" s="135">
        <f t="shared" si="1"/>
        <v>-5.3375196232339217E-3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31.14</v>
      </c>
      <c r="Y8" s="40">
        <v>31.89</v>
      </c>
      <c r="Z8" s="40">
        <v>30.82</v>
      </c>
      <c r="AA8" s="360">
        <v>31.85</v>
      </c>
      <c r="AB8" s="94">
        <v>888100</v>
      </c>
      <c r="AC8" s="240">
        <v>31.85</v>
      </c>
      <c r="AD8" s="2">
        <f t="shared" si="0"/>
        <v>1.0700000000000003</v>
      </c>
      <c r="AE8" s="135">
        <f t="shared" si="1"/>
        <v>5.2892561983471031E-2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29.99</v>
      </c>
      <c r="Y9" s="40">
        <v>30.37</v>
      </c>
      <c r="Z9" s="40">
        <v>29.99</v>
      </c>
      <c r="AA9" s="360">
        <v>30.25</v>
      </c>
      <c r="AB9" s="94">
        <v>320000</v>
      </c>
      <c r="AC9" s="240">
        <v>30.25</v>
      </c>
      <c r="AD9" s="2">
        <f t="shared" si="0"/>
        <v>0.38000000000000256</v>
      </c>
      <c r="AE9" s="135">
        <f t="shared" si="1"/>
        <v>4.983388704318914E-3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171.89999999999964</v>
      </c>
      <c r="W10" s="93">
        <v>42818</v>
      </c>
      <c r="X10" s="360">
        <v>29.9</v>
      </c>
      <c r="Y10" s="40">
        <v>30.3</v>
      </c>
      <c r="Z10" s="40">
        <v>29.8</v>
      </c>
      <c r="AA10" s="360">
        <v>30.1</v>
      </c>
      <c r="AB10" s="94">
        <v>528400</v>
      </c>
      <c r="AC10" s="240">
        <v>30.1</v>
      </c>
      <c r="AD10" s="2">
        <f t="shared" si="0"/>
        <v>0.5</v>
      </c>
      <c r="AE10" s="135">
        <f t="shared" si="1"/>
        <v>8.3752093802345051E-3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30.09</v>
      </c>
      <c r="Y11" s="40">
        <v>30.2</v>
      </c>
      <c r="Z11" s="40">
        <v>29.79</v>
      </c>
      <c r="AA11" s="360">
        <v>29.85</v>
      </c>
      <c r="AB11" s="94">
        <v>276500</v>
      </c>
      <c r="AC11" s="240">
        <v>29.85</v>
      </c>
      <c r="AD11" s="2">
        <f t="shared" si="0"/>
        <v>0.41000000000000014</v>
      </c>
      <c r="AE11" s="135">
        <f t="shared" si="1"/>
        <v>-8.3056478405315604E-3</v>
      </c>
      <c r="AK11" s="231"/>
      <c r="AN11" s="231"/>
    </row>
    <row r="12" spans="1:40" x14ac:dyDescent="0.25">
      <c r="W12" s="93">
        <v>42816</v>
      </c>
      <c r="X12" s="360">
        <v>30.32</v>
      </c>
      <c r="Y12" s="40">
        <v>30.42</v>
      </c>
      <c r="Z12" s="40">
        <v>29.93</v>
      </c>
      <c r="AA12" s="360">
        <v>30.1</v>
      </c>
      <c r="AB12" s="94">
        <v>235400</v>
      </c>
      <c r="AC12" s="240">
        <v>30.1</v>
      </c>
      <c r="AD12" s="2">
        <f t="shared" si="0"/>
        <v>0.49000000000000199</v>
      </c>
      <c r="AE12" s="135">
        <f t="shared" si="1"/>
        <v>-8.2372322899505468E-3</v>
      </c>
    </row>
    <row r="13" spans="1:40" x14ac:dyDescent="0.25">
      <c r="W13" s="93">
        <v>42815</v>
      </c>
      <c r="X13" s="360">
        <v>30.91</v>
      </c>
      <c r="Y13" s="40">
        <v>31.31</v>
      </c>
      <c r="Z13" s="40">
        <v>30.28</v>
      </c>
      <c r="AA13" s="360">
        <v>30.35</v>
      </c>
      <c r="AB13" s="94">
        <v>607200</v>
      </c>
      <c r="AC13" s="240">
        <v>30.35</v>
      </c>
      <c r="AD13" s="2">
        <f t="shared" si="0"/>
        <v>1.0299999999999976</v>
      </c>
      <c r="AE13" s="135">
        <f t="shared" si="1"/>
        <v>-1.3970110461338558E-2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31.09</v>
      </c>
      <c r="Y14" s="40">
        <v>31.38</v>
      </c>
      <c r="Z14" s="40">
        <v>30.62</v>
      </c>
      <c r="AA14" s="360">
        <v>30.78</v>
      </c>
      <c r="AB14" s="94">
        <v>1149200</v>
      </c>
      <c r="AC14" s="240">
        <v>30.78</v>
      </c>
      <c r="AD14" s="2">
        <f t="shared" si="0"/>
        <v>0.75999999999999801</v>
      </c>
      <c r="AE14" s="135">
        <f t="shared" si="1"/>
        <v>-1.028938906752408E-2</v>
      </c>
    </row>
    <row r="15" spans="1:40" x14ac:dyDescent="0.25">
      <c r="W15" s="93">
        <v>42811</v>
      </c>
      <c r="X15" s="360">
        <v>31.19</v>
      </c>
      <c r="Y15" s="40">
        <v>31.23</v>
      </c>
      <c r="Z15" s="40">
        <v>30.79</v>
      </c>
      <c r="AA15" s="360">
        <v>31.1</v>
      </c>
      <c r="AB15" s="94">
        <v>314400</v>
      </c>
      <c r="AC15" s="240">
        <v>31.1</v>
      </c>
      <c r="AD15" s="2">
        <f t="shared" si="0"/>
        <v>0.44000000000000128</v>
      </c>
      <c r="AE15" s="135">
        <f t="shared" si="1"/>
        <v>-2.8855402372555128E-3</v>
      </c>
      <c r="AK15" s="231"/>
      <c r="AN15" s="231"/>
    </row>
    <row r="16" spans="1:40" x14ac:dyDescent="0.25">
      <c r="W16" s="93">
        <v>42810</v>
      </c>
      <c r="X16" s="360">
        <v>31.31</v>
      </c>
      <c r="Y16" s="40">
        <v>31.51</v>
      </c>
      <c r="Z16" s="40">
        <v>31.02</v>
      </c>
      <c r="AA16" s="360">
        <v>31.19</v>
      </c>
      <c r="AB16" s="94">
        <v>345600</v>
      </c>
      <c r="AC16" s="240">
        <v>31.19</v>
      </c>
      <c r="AD16" s="2">
        <f t="shared" si="0"/>
        <v>0.49000000000000199</v>
      </c>
      <c r="AE16" s="135">
        <f t="shared" si="1"/>
        <v>-3.5143769968051242E-3</v>
      </c>
    </row>
    <row r="17" spans="1:40" x14ac:dyDescent="0.25">
      <c r="W17" s="93">
        <v>42809</v>
      </c>
      <c r="X17" s="360">
        <v>30.8</v>
      </c>
      <c r="Y17" s="40">
        <v>31.58</v>
      </c>
      <c r="Z17" s="40">
        <v>30.8</v>
      </c>
      <c r="AA17" s="360">
        <v>31.3</v>
      </c>
      <c r="AB17" s="94">
        <v>598800</v>
      </c>
      <c r="AC17" s="240">
        <v>31.3</v>
      </c>
      <c r="AD17" s="2">
        <f t="shared" si="0"/>
        <v>0.77999999999999758</v>
      </c>
      <c r="AE17" s="135">
        <f t="shared" si="1"/>
        <v>1.065547303842429E-2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31</v>
      </c>
      <c r="Y18" s="40">
        <v>31.02</v>
      </c>
      <c r="Z18" s="40">
        <v>30.66</v>
      </c>
      <c r="AA18" s="360">
        <v>30.97</v>
      </c>
      <c r="AB18" s="94">
        <v>236500</v>
      </c>
      <c r="AC18" s="240">
        <v>30.97</v>
      </c>
      <c r="AD18" s="2">
        <f t="shared" si="0"/>
        <v>0.35999999999999943</v>
      </c>
      <c r="AE18" s="135">
        <f t="shared" si="1"/>
        <v>-2.8976175144881378E-3</v>
      </c>
    </row>
    <row r="19" spans="1:40" x14ac:dyDescent="0.25">
      <c r="W19" s="93">
        <v>42807</v>
      </c>
      <c r="X19" s="360">
        <v>30.56</v>
      </c>
      <c r="Y19" s="40">
        <v>31.14</v>
      </c>
      <c r="Z19" s="40">
        <v>30.56</v>
      </c>
      <c r="AA19" s="360">
        <v>31.06</v>
      </c>
      <c r="AB19" s="94">
        <v>348200</v>
      </c>
      <c r="AC19" s="240">
        <v>31.06</v>
      </c>
      <c r="AD19" s="2">
        <f t="shared" si="0"/>
        <v>0.58000000000000185</v>
      </c>
      <c r="AE19" s="135">
        <f t="shared" si="1"/>
        <v>6.8071312803887896E-3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30.96</v>
      </c>
      <c r="Y20" s="40">
        <v>30.98</v>
      </c>
      <c r="Z20" s="40">
        <v>30.6</v>
      </c>
      <c r="AA20" s="360">
        <v>30.85</v>
      </c>
      <c r="AB20" s="94">
        <v>256300</v>
      </c>
      <c r="AC20" s="240">
        <v>30.85</v>
      </c>
      <c r="AD20" s="2">
        <f t="shared" si="0"/>
        <v>0.37999999999999901</v>
      </c>
      <c r="AE20" s="135">
        <f t="shared" si="1"/>
        <v>1.9486846378695688E-3</v>
      </c>
    </row>
    <row r="21" spans="1:40" x14ac:dyDescent="0.25">
      <c r="B21" s="190"/>
      <c r="C21" s="10"/>
      <c r="D21" s="40"/>
      <c r="E21" s="40"/>
      <c r="F21" s="40"/>
      <c r="G21" s="40"/>
      <c r="H21" s="228"/>
      <c r="I21" s="40"/>
      <c r="W21" s="93">
        <v>42803</v>
      </c>
      <c r="X21" s="360">
        <v>30.79</v>
      </c>
      <c r="Y21" s="40">
        <v>30.9</v>
      </c>
      <c r="Z21" s="40">
        <v>30.61</v>
      </c>
      <c r="AA21" s="360">
        <v>30.79</v>
      </c>
      <c r="AB21" s="94">
        <v>235100</v>
      </c>
      <c r="AC21" s="240">
        <v>30.79</v>
      </c>
      <c r="AD21" s="2">
        <f t="shared" si="0"/>
        <v>0.28999999999999915</v>
      </c>
      <c r="AE21" s="135">
        <f t="shared" si="1"/>
        <v>-3.2467532467539417E-4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360">
        <v>30.76</v>
      </c>
      <c r="Y22" s="40">
        <v>30.88</v>
      </c>
      <c r="Z22" s="40">
        <v>30.63</v>
      </c>
      <c r="AA22" s="360">
        <v>30.8</v>
      </c>
      <c r="AB22" s="94">
        <v>254700</v>
      </c>
      <c r="AC22" s="240">
        <v>30.8</v>
      </c>
      <c r="AD22" s="2">
        <f t="shared" si="0"/>
        <v>0.25</v>
      </c>
      <c r="AE22" s="135">
        <f t="shared" si="1"/>
        <v>2.277904328018332E-3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360">
        <v>31.07</v>
      </c>
      <c r="Y23" s="40">
        <v>31.09</v>
      </c>
      <c r="Z23" s="40">
        <v>30.67</v>
      </c>
      <c r="AA23" s="360">
        <v>30.73</v>
      </c>
      <c r="AB23" s="94">
        <v>319300</v>
      </c>
      <c r="AC23" s="240">
        <v>30.73</v>
      </c>
      <c r="AD23" s="2">
        <f t="shared" si="0"/>
        <v>0.41999999999999815</v>
      </c>
      <c r="AE23" s="135">
        <f t="shared" si="1"/>
        <v>-1.1261261261261146E-2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360">
        <v>31.01</v>
      </c>
      <c r="Y24" s="40">
        <v>31.24</v>
      </c>
      <c r="Z24" s="40">
        <v>30.93</v>
      </c>
      <c r="AA24" s="360">
        <v>31.08</v>
      </c>
      <c r="AB24" s="94">
        <v>348500</v>
      </c>
      <c r="AC24" s="240">
        <v>31.08</v>
      </c>
      <c r="AD24" s="2">
        <f t="shared" si="0"/>
        <v>0.30999999999999872</v>
      </c>
      <c r="AE24" s="135">
        <f t="shared" si="1"/>
        <v>-2.2471910112359383E-3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360">
        <v>31.1</v>
      </c>
      <c r="Y25" s="40">
        <v>31.36</v>
      </c>
      <c r="Z25" s="40">
        <v>31.03</v>
      </c>
      <c r="AA25" s="360">
        <v>31.15</v>
      </c>
      <c r="AB25" s="94">
        <v>706300</v>
      </c>
      <c r="AC25" s="240">
        <v>31.15</v>
      </c>
      <c r="AD25" s="2">
        <f t="shared" si="0"/>
        <v>0.32999999999999829</v>
      </c>
      <c r="AE25" s="135">
        <f t="shared" si="1"/>
        <v>-7.9617834394904996E-3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360">
        <v>31.54</v>
      </c>
      <c r="Y26" s="40">
        <v>31.54</v>
      </c>
      <c r="Z26" s="40">
        <v>31.24</v>
      </c>
      <c r="AA26" s="360">
        <v>31.4</v>
      </c>
      <c r="AB26" s="94">
        <v>283100</v>
      </c>
      <c r="AC26" s="240">
        <v>31.4</v>
      </c>
      <c r="AD26" s="2">
        <f t="shared" si="0"/>
        <v>0.30000000000000071</v>
      </c>
      <c r="AE26" s="135">
        <f t="shared" si="1"/>
        <v>-2.8580501746585663E-3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360">
        <v>31.49</v>
      </c>
      <c r="Y27" s="40">
        <v>31.77</v>
      </c>
      <c r="Z27" s="40">
        <v>31.3</v>
      </c>
      <c r="AA27" s="360">
        <v>31.49</v>
      </c>
      <c r="AB27" s="94">
        <v>375800</v>
      </c>
      <c r="AC27" s="240">
        <v>31.49</v>
      </c>
      <c r="AD27" s="2">
        <f t="shared" si="0"/>
        <v>0.46999999999999886</v>
      </c>
      <c r="AE27" s="135">
        <f t="shared" si="1"/>
        <v>1.9090041361755627E-3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360">
        <v>31.82</v>
      </c>
      <c r="Y28" s="40">
        <v>32.03</v>
      </c>
      <c r="Z28" s="40">
        <v>31.29</v>
      </c>
      <c r="AA28" s="360">
        <v>31.43</v>
      </c>
      <c r="AB28" s="94">
        <v>613700</v>
      </c>
      <c r="AC28" s="240">
        <v>31.43</v>
      </c>
      <c r="AD28" s="2">
        <f t="shared" si="0"/>
        <v>0.74000000000000199</v>
      </c>
      <c r="AE28" s="135">
        <f t="shared" si="1"/>
        <v>-1.9344773790951564E-2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360">
        <v>31.32</v>
      </c>
      <c r="Y29" s="40">
        <v>32.07</v>
      </c>
      <c r="Z29" s="40">
        <v>31.18</v>
      </c>
      <c r="AA29" s="360">
        <v>32.049999999999997</v>
      </c>
      <c r="AB29" s="94">
        <v>922800</v>
      </c>
      <c r="AC29" s="240">
        <v>32.049999999999997</v>
      </c>
      <c r="AD29" s="2">
        <f t="shared" si="0"/>
        <v>0.89000000000000057</v>
      </c>
      <c r="AE29" s="135">
        <f t="shared" si="1"/>
        <v>2.2654754307594116E-2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360">
        <v>31.28</v>
      </c>
      <c r="Y30" s="40">
        <v>31.45</v>
      </c>
      <c r="Z30" s="40">
        <v>31.25</v>
      </c>
      <c r="AA30" s="360">
        <v>31.34</v>
      </c>
      <c r="AB30" s="94">
        <v>561000</v>
      </c>
      <c r="AC30" s="240">
        <v>31.34</v>
      </c>
      <c r="AD30" s="2">
        <f t="shared" si="0"/>
        <v>0.19999999999999929</v>
      </c>
      <c r="AE30" s="135">
        <f t="shared" si="1"/>
        <v>-3.1806615776082126E-3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42789</v>
      </c>
      <c r="X31" s="360">
        <v>31.69</v>
      </c>
      <c r="Y31" s="40">
        <v>31.82</v>
      </c>
      <c r="Z31" s="40">
        <v>31.39</v>
      </c>
      <c r="AA31" s="360">
        <v>31.44</v>
      </c>
      <c r="AB31" s="94">
        <v>553200</v>
      </c>
      <c r="AC31" s="240">
        <v>31.44</v>
      </c>
      <c r="AD31" s="2">
        <f t="shared" si="0"/>
        <v>0.42999999999999972</v>
      </c>
      <c r="AE31" s="135">
        <f t="shared" si="1"/>
        <v>-9.1396155058304229E-3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360">
        <v>31.5</v>
      </c>
      <c r="Y32" s="40">
        <v>31.98</v>
      </c>
      <c r="Z32" s="40">
        <v>31.5</v>
      </c>
      <c r="AA32" s="360">
        <v>31.73</v>
      </c>
      <c r="AB32" s="94">
        <v>467100</v>
      </c>
      <c r="AC32" s="240">
        <v>31.73</v>
      </c>
      <c r="AD32" s="2">
        <f t="shared" si="0"/>
        <v>0.48000000000000043</v>
      </c>
      <c r="AE32" s="135">
        <f t="shared" si="1"/>
        <v>3.79626700411273E-3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360">
        <v>31.27</v>
      </c>
      <c r="Y33" s="40">
        <v>31.74</v>
      </c>
      <c r="Z33" s="40">
        <v>31.08</v>
      </c>
      <c r="AA33" s="360">
        <v>31.61</v>
      </c>
      <c r="AB33" s="94">
        <v>358700</v>
      </c>
      <c r="AC33" s="240">
        <v>31.61</v>
      </c>
      <c r="AD33" s="2">
        <f t="shared" si="0"/>
        <v>0.66000000000000014</v>
      </c>
      <c r="AE33" s="135">
        <f t="shared" si="1"/>
        <v>8.2934609250397973E-3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31.19</v>
      </c>
      <c r="Y34" s="40">
        <v>31.41</v>
      </c>
      <c r="Z34" s="40">
        <v>30.97</v>
      </c>
      <c r="AA34" s="360">
        <v>31.35</v>
      </c>
      <c r="AB34" s="94">
        <v>416000</v>
      </c>
      <c r="AC34" s="240">
        <v>31.35</v>
      </c>
      <c r="AD34" s="2">
        <f t="shared" si="0"/>
        <v>0.44000000000000128</v>
      </c>
      <c r="AE34" s="135">
        <f t="shared" si="1"/>
        <v>4.8076923076922906E-3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31.56</v>
      </c>
      <c r="Y35" s="40">
        <v>31.61</v>
      </c>
      <c r="Z35" s="40">
        <v>31.06</v>
      </c>
      <c r="AA35" s="360">
        <v>31.2</v>
      </c>
      <c r="AB35" s="94">
        <v>459800</v>
      </c>
      <c r="AC35" s="240">
        <v>31.2</v>
      </c>
      <c r="AD35" s="2">
        <f t="shared" si="0"/>
        <v>0.55000000000000071</v>
      </c>
      <c r="AE35" s="135">
        <f t="shared" si="1"/>
        <v>-7.6335877862595547E-3</v>
      </c>
    </row>
    <row r="36" spans="1:31" x14ac:dyDescent="0.25">
      <c r="W36" s="93">
        <v>42781</v>
      </c>
      <c r="X36" s="360">
        <v>31.84</v>
      </c>
      <c r="Y36" s="40">
        <v>31.92</v>
      </c>
      <c r="Z36" s="40">
        <v>31.42</v>
      </c>
      <c r="AA36" s="360">
        <v>31.44</v>
      </c>
      <c r="AB36" s="94">
        <v>501300</v>
      </c>
      <c r="AC36" s="240">
        <v>31.44</v>
      </c>
      <c r="AD36" s="2">
        <f t="shared" si="0"/>
        <v>0.5</v>
      </c>
      <c r="AE36" s="135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3">
        <v>42780</v>
      </c>
      <c r="X37" s="360">
        <v>31.56</v>
      </c>
      <c r="Y37" s="40">
        <v>31.98</v>
      </c>
      <c r="Z37" s="40">
        <v>31.56</v>
      </c>
      <c r="AA37" s="360">
        <v>31.95</v>
      </c>
      <c r="AB37" s="94">
        <v>367800</v>
      </c>
      <c r="AC37" s="240">
        <v>31.95</v>
      </c>
      <c r="AD37" s="2">
        <f t="shared" si="0"/>
        <v>0.42000000000000171</v>
      </c>
      <c r="AE37" s="135">
        <f t="shared" si="1"/>
        <v>1.2678288431061668E-2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31.4</v>
      </c>
      <c r="Y38" s="40">
        <v>31.59</v>
      </c>
      <c r="Z38" s="40">
        <v>31.2</v>
      </c>
      <c r="AA38" s="360">
        <v>31.55</v>
      </c>
      <c r="AB38" s="94">
        <v>608400</v>
      </c>
      <c r="AC38" s="240">
        <v>31.55</v>
      </c>
      <c r="AD38" s="2">
        <f t="shared" si="0"/>
        <v>0.39000000000000057</v>
      </c>
      <c r="AE38" s="135">
        <f t="shared" si="1"/>
        <v>7.022023619533968E-3</v>
      </c>
    </row>
    <row r="39" spans="1:31" ht="20.25" thickBot="1" x14ac:dyDescent="0.35">
      <c r="A39" s="262" t="s">
        <v>23</v>
      </c>
      <c r="B39" s="263">
        <v>42619</v>
      </c>
      <c r="C39" s="258">
        <v>50</v>
      </c>
      <c r="D39" s="259">
        <v>31.18</v>
      </c>
      <c r="E39" s="259">
        <v>0</v>
      </c>
      <c r="F39" s="259">
        <f>D39*C39+E39</f>
        <v>1559</v>
      </c>
      <c r="G39" s="263">
        <v>42741</v>
      </c>
      <c r="H39" s="258">
        <v>50</v>
      </c>
      <c r="I39" s="259">
        <v>31.62</v>
      </c>
      <c r="J39" s="259">
        <v>0.03</v>
      </c>
      <c r="K39" s="259">
        <f>I39*H39-J39</f>
        <v>1580.97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360">
        <v>31.47</v>
      </c>
      <c r="Y39" s="40">
        <v>31.64</v>
      </c>
      <c r="Z39" s="40">
        <v>31.04</v>
      </c>
      <c r="AA39" s="360">
        <v>31.33</v>
      </c>
      <c r="AB39" s="94">
        <v>491100</v>
      </c>
      <c r="AC39" s="240">
        <v>31.33</v>
      </c>
      <c r="AD39" s="2">
        <f t="shared" si="0"/>
        <v>0.60000000000000142</v>
      </c>
      <c r="AE39" s="135">
        <f t="shared" si="1"/>
        <v>-4.4486812837623013E-3</v>
      </c>
    </row>
    <row r="40" spans="1:31" ht="15.75" thickTop="1" x14ac:dyDescent="0.25">
      <c r="A40" s="265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8"/>
      <c r="O40" s="2"/>
      <c r="P40" s="82">
        <v>1.1000000000000001</v>
      </c>
      <c r="Q40" s="82">
        <f>P40*$Q$4</f>
        <v>37.015000000000001</v>
      </c>
      <c r="R40" s="34"/>
      <c r="T40" s="96" t="s">
        <v>97</v>
      </c>
      <c r="U40" s="127">
        <v>31.79</v>
      </c>
      <c r="W40" s="93">
        <v>42775</v>
      </c>
      <c r="X40" s="360">
        <v>31.14</v>
      </c>
      <c r="Y40" s="40">
        <v>31.56</v>
      </c>
      <c r="Z40" s="40">
        <v>31.02</v>
      </c>
      <c r="AA40" s="360">
        <v>31.47</v>
      </c>
      <c r="AB40" s="94">
        <v>597900</v>
      </c>
      <c r="AC40" s="240">
        <v>31.47</v>
      </c>
      <c r="AD40" s="2">
        <f t="shared" si="0"/>
        <v>0.53999999999999915</v>
      </c>
      <c r="AE40" s="135">
        <f t="shared" si="1"/>
        <v>1.2548262548262468E-2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2">P41*$Q$4</f>
        <v>36.6785</v>
      </c>
      <c r="R41" s="34"/>
      <c r="T41" s="86" t="s">
        <v>98</v>
      </c>
      <c r="U41" s="128">
        <v>31.9</v>
      </c>
      <c r="W41" s="93">
        <v>42774</v>
      </c>
      <c r="X41" s="360">
        <v>30.82</v>
      </c>
      <c r="Y41" s="40">
        <v>31.19</v>
      </c>
      <c r="Z41" s="40">
        <v>30.72</v>
      </c>
      <c r="AA41" s="360">
        <v>31.08</v>
      </c>
      <c r="AB41" s="94">
        <v>950100</v>
      </c>
      <c r="AC41" s="240">
        <v>31.08</v>
      </c>
      <c r="AD41" s="2">
        <f t="shared" si="0"/>
        <v>0.47000000000000242</v>
      </c>
      <c r="AE41" s="135">
        <f t="shared" si="1"/>
        <v>1.073170731707318E-2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2"/>
        <v>36.341999999999999</v>
      </c>
      <c r="R42" s="34"/>
      <c r="T42" s="86" t="s">
        <v>99</v>
      </c>
      <c r="U42" s="128" t="s">
        <v>128</v>
      </c>
      <c r="W42" s="93">
        <v>42773</v>
      </c>
      <c r="X42" s="360">
        <v>31.54</v>
      </c>
      <c r="Y42" s="40">
        <v>31.9</v>
      </c>
      <c r="Z42" s="40">
        <v>29.15</v>
      </c>
      <c r="AA42" s="360">
        <v>30.75</v>
      </c>
      <c r="AB42" s="94">
        <v>2003200</v>
      </c>
      <c r="AC42" s="240">
        <v>30.75</v>
      </c>
      <c r="AD42" s="2">
        <f t="shared" si="0"/>
        <v>2.75</v>
      </c>
      <c r="AE42" s="135">
        <f t="shared" si="1"/>
        <v>-4.4437538844002478E-2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2"/>
        <v>36.005499999999998</v>
      </c>
      <c r="R43" s="82"/>
      <c r="T43" s="86" t="s">
        <v>100</v>
      </c>
      <c r="U43" s="128" t="s">
        <v>563</v>
      </c>
      <c r="W43" s="93">
        <v>42772</v>
      </c>
      <c r="X43" s="360">
        <v>31.72</v>
      </c>
      <c r="Y43" s="40">
        <v>32.26</v>
      </c>
      <c r="Z43" s="40">
        <v>31.58</v>
      </c>
      <c r="AA43" s="360">
        <v>32.18</v>
      </c>
      <c r="AB43" s="94">
        <v>704900</v>
      </c>
      <c r="AC43" s="240">
        <v>32.18</v>
      </c>
      <c r="AD43" s="2">
        <f t="shared" si="0"/>
        <v>0.67999999999999972</v>
      </c>
      <c r="AE43" s="135">
        <f t="shared" si="1"/>
        <v>1.0678391959799027E-2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2"/>
        <v>35.668999999999997</v>
      </c>
      <c r="R44" s="82"/>
      <c r="T44" s="86" t="s">
        <v>101</v>
      </c>
      <c r="U44" s="128">
        <v>37.67</v>
      </c>
      <c r="W44" s="93">
        <v>42769</v>
      </c>
      <c r="X44" s="360">
        <v>31.43</v>
      </c>
      <c r="Y44" s="40">
        <v>32.03</v>
      </c>
      <c r="Z44" s="40">
        <v>31.37</v>
      </c>
      <c r="AA44" s="360">
        <v>31.84</v>
      </c>
      <c r="AB44" s="94">
        <v>503400</v>
      </c>
      <c r="AC44" s="240">
        <v>31.84</v>
      </c>
      <c r="AD44" s="2">
        <f t="shared" si="0"/>
        <v>0.66000000000000014</v>
      </c>
      <c r="AE44" s="135">
        <f t="shared" si="1"/>
        <v>1.1435832274459878E-2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2"/>
        <v>35.332500000000003</v>
      </c>
      <c r="R45" s="82"/>
      <c r="T45" s="86" t="s">
        <v>102</v>
      </c>
      <c r="U45" s="128">
        <v>0.445183</v>
      </c>
      <c r="W45" s="93">
        <v>42768</v>
      </c>
      <c r="X45" s="360">
        <v>31.7</v>
      </c>
      <c r="Y45" s="40">
        <v>31.83</v>
      </c>
      <c r="Z45" s="40">
        <v>31.37</v>
      </c>
      <c r="AA45" s="360">
        <v>31.48</v>
      </c>
      <c r="AB45" s="94">
        <v>417200</v>
      </c>
      <c r="AC45" s="240">
        <v>31.48</v>
      </c>
      <c r="AD45" s="2">
        <f t="shared" si="0"/>
        <v>0.4599999999999973</v>
      </c>
      <c r="AE45" s="135">
        <f t="shared" si="1"/>
        <v>-5.3712480252764427E-3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2"/>
        <v>34.996000000000002</v>
      </c>
      <c r="R46" s="82"/>
      <c r="T46" s="86" t="s">
        <v>121</v>
      </c>
      <c r="U46" s="229" t="s">
        <v>443</v>
      </c>
      <c r="W46" s="93">
        <v>42767</v>
      </c>
      <c r="X46" s="360">
        <v>31.89</v>
      </c>
      <c r="Y46" s="40">
        <v>32.17</v>
      </c>
      <c r="Z46" s="40">
        <v>31.47</v>
      </c>
      <c r="AA46" s="360">
        <v>31.65</v>
      </c>
      <c r="AB46" s="94">
        <v>357500</v>
      </c>
      <c r="AC46" s="240">
        <v>31.65</v>
      </c>
      <c r="AD46" s="2">
        <f t="shared" si="0"/>
        <v>0.70000000000000284</v>
      </c>
      <c r="AE46" s="135">
        <f t="shared" si="1"/>
        <v>-6.5913370998117449E-3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2"/>
        <v>34.659500000000001</v>
      </c>
      <c r="R47" s="82"/>
      <c r="T47" s="86"/>
      <c r="U47" s="128"/>
      <c r="W47" s="93">
        <v>42766</v>
      </c>
      <c r="X47" s="360">
        <v>31.04</v>
      </c>
      <c r="Y47" s="40">
        <v>31.87</v>
      </c>
      <c r="Z47" s="40">
        <v>30.97</v>
      </c>
      <c r="AA47" s="360">
        <v>31.86</v>
      </c>
      <c r="AB47" s="94">
        <v>623000</v>
      </c>
      <c r="AC47" s="240">
        <v>31.86</v>
      </c>
      <c r="AD47" s="2">
        <f t="shared" si="0"/>
        <v>0.90000000000000213</v>
      </c>
      <c r="AE47" s="135">
        <f t="shared" si="1"/>
        <v>2.774193548387105E-2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2"/>
        <v>34.323</v>
      </c>
      <c r="R48" s="82"/>
      <c r="T48" s="86" t="s">
        <v>104</v>
      </c>
      <c r="U48" s="128" t="s">
        <v>624</v>
      </c>
      <c r="W48" s="93">
        <v>42765</v>
      </c>
      <c r="X48" s="360">
        <v>31.05</v>
      </c>
      <c r="Y48" s="40">
        <v>31.15</v>
      </c>
      <c r="Z48" s="40">
        <v>30.82</v>
      </c>
      <c r="AA48" s="360">
        <v>31</v>
      </c>
      <c r="AB48" s="94">
        <v>453200</v>
      </c>
      <c r="AC48" s="240">
        <v>31</v>
      </c>
      <c r="AD48" s="2">
        <f t="shared" si="0"/>
        <v>0.32999999999999829</v>
      </c>
      <c r="AE48" s="135">
        <f t="shared" si="1"/>
        <v>-7.0467648942984518E-3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2"/>
        <v>33.986499999999999</v>
      </c>
      <c r="R49" s="82"/>
      <c r="T49" s="86" t="s">
        <v>105</v>
      </c>
      <c r="U49" s="128" t="s">
        <v>343</v>
      </c>
      <c r="W49" s="93">
        <v>42762</v>
      </c>
      <c r="X49" s="360">
        <v>31.63</v>
      </c>
      <c r="Y49" s="40">
        <v>31.63</v>
      </c>
      <c r="Z49" s="40">
        <v>31.03</v>
      </c>
      <c r="AA49" s="360">
        <v>31.22</v>
      </c>
      <c r="AB49" s="94">
        <v>809200</v>
      </c>
      <c r="AC49" s="240">
        <v>31.22</v>
      </c>
      <c r="AD49" s="2">
        <f t="shared" si="0"/>
        <v>0.59999999999999787</v>
      </c>
      <c r="AE49" s="135">
        <f t="shared" si="1"/>
        <v>-9.2034274833386887E-3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2"/>
        <v>33.65</v>
      </c>
      <c r="R50" s="82"/>
      <c r="T50" s="86" t="s">
        <v>106</v>
      </c>
      <c r="U50" s="129">
        <v>349106</v>
      </c>
      <c r="W50" s="93">
        <v>42761</v>
      </c>
      <c r="X50" s="360">
        <v>31.42</v>
      </c>
      <c r="Y50" s="40">
        <v>31.8</v>
      </c>
      <c r="Z50" s="40">
        <v>31.27</v>
      </c>
      <c r="AA50" s="360">
        <v>31.51</v>
      </c>
      <c r="AB50" s="94">
        <v>839400</v>
      </c>
      <c r="AC50" s="240">
        <v>31.51</v>
      </c>
      <c r="AD50" s="2">
        <f t="shared" si="0"/>
        <v>0.53000000000000114</v>
      </c>
      <c r="AE50" s="135">
        <f t="shared" si="1"/>
        <v>3.5031847133759619E-3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2"/>
        <v>33.313499999999998</v>
      </c>
      <c r="R51" s="82"/>
      <c r="T51" s="86" t="s">
        <v>109</v>
      </c>
      <c r="U51" s="129">
        <v>511145</v>
      </c>
      <c r="W51" s="93">
        <v>42760</v>
      </c>
      <c r="X51" s="360">
        <v>31.65</v>
      </c>
      <c r="Y51" s="40">
        <v>31.83</v>
      </c>
      <c r="Z51" s="40">
        <v>31.38</v>
      </c>
      <c r="AA51" s="360">
        <v>31.4</v>
      </c>
      <c r="AB51" s="94">
        <v>807700</v>
      </c>
      <c r="AC51" s="240">
        <v>31.4</v>
      </c>
      <c r="AD51" s="2">
        <f t="shared" si="0"/>
        <v>0.44999999999999929</v>
      </c>
      <c r="AE51" s="135">
        <f t="shared" si="1"/>
        <v>-8.5254183770130387E-3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2"/>
        <v>32.976999999999997</v>
      </c>
      <c r="R52" s="82"/>
      <c r="T52" s="86" t="s">
        <v>107</v>
      </c>
      <c r="U52" s="128" t="s">
        <v>625</v>
      </c>
      <c r="W52" s="93">
        <v>42759</v>
      </c>
      <c r="X52" s="360">
        <v>31.76</v>
      </c>
      <c r="Y52" s="40">
        <v>31.84</v>
      </c>
      <c r="Z52" s="40">
        <v>31.32</v>
      </c>
      <c r="AA52" s="360">
        <v>31.67</v>
      </c>
      <c r="AB52" s="94">
        <v>1254600</v>
      </c>
      <c r="AC52" s="240">
        <v>31.67</v>
      </c>
      <c r="AD52" s="2">
        <f t="shared" si="0"/>
        <v>0.51999999999999957</v>
      </c>
      <c r="AE52" s="135">
        <f t="shared" si="1"/>
        <v>-4.0880503144653524E-3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2"/>
        <v>32.640499999999996</v>
      </c>
      <c r="R53" s="82"/>
      <c r="T53" s="86" t="s">
        <v>110</v>
      </c>
      <c r="U53" s="128">
        <v>15.28</v>
      </c>
      <c r="W53" s="93">
        <v>42758</v>
      </c>
      <c r="X53" s="360">
        <v>32.340000000000003</v>
      </c>
      <c r="Y53" s="40">
        <v>32.340000000000003</v>
      </c>
      <c r="Z53" s="40">
        <v>31.79</v>
      </c>
      <c r="AA53" s="360">
        <v>31.8</v>
      </c>
      <c r="AB53" s="94">
        <v>430400</v>
      </c>
      <c r="AC53" s="240">
        <v>31.8</v>
      </c>
      <c r="AD53" s="2">
        <f t="shared" si="0"/>
        <v>0.55000000000000426</v>
      </c>
      <c r="AE53" s="135">
        <f t="shared" si="1"/>
        <v>-1.8215498610682279E-2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2"/>
        <v>32.303999999999995</v>
      </c>
      <c r="R54" s="82"/>
      <c r="T54" s="86" t="s">
        <v>111</v>
      </c>
      <c r="U54" s="128">
        <v>2.0699999999999998</v>
      </c>
      <c r="W54" s="93">
        <v>42755</v>
      </c>
      <c r="X54" s="360">
        <v>32.5</v>
      </c>
      <c r="Y54" s="40">
        <v>32.56</v>
      </c>
      <c r="Z54" s="40">
        <v>32.29</v>
      </c>
      <c r="AA54" s="360">
        <v>32.39</v>
      </c>
      <c r="AB54" s="94">
        <v>214600</v>
      </c>
      <c r="AC54" s="240">
        <v>32.39</v>
      </c>
      <c r="AD54" s="2">
        <f t="shared" si="0"/>
        <v>0.27000000000000313</v>
      </c>
      <c r="AE54" s="135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31.967499999999998</v>
      </c>
      <c r="R55" s="82"/>
      <c r="T55" s="86" t="s">
        <v>108</v>
      </c>
      <c r="U55" s="128" t="s">
        <v>122</v>
      </c>
      <c r="W55" s="93">
        <v>42754</v>
      </c>
      <c r="X55" s="360">
        <v>32.69</v>
      </c>
      <c r="Y55" s="40">
        <v>32.79</v>
      </c>
      <c r="Z55" s="40">
        <v>32.33</v>
      </c>
      <c r="AA55" s="360">
        <v>32.35</v>
      </c>
      <c r="AB55" s="94">
        <v>347500</v>
      </c>
      <c r="AC55" s="240">
        <v>32.35</v>
      </c>
      <c r="AD55" s="2">
        <f t="shared" si="0"/>
        <v>0.46000000000000085</v>
      </c>
      <c r="AE55" s="135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31.630999999999997</v>
      </c>
      <c r="R56" s="82"/>
      <c r="W56" s="93">
        <v>42753</v>
      </c>
      <c r="X56" s="360">
        <v>32.75</v>
      </c>
      <c r="Y56" s="40">
        <v>32.86</v>
      </c>
      <c r="Z56" s="40">
        <v>32.4</v>
      </c>
      <c r="AA56" s="360">
        <v>32.770000000000003</v>
      </c>
      <c r="AB56" s="94">
        <v>353000</v>
      </c>
      <c r="AC56" s="240">
        <v>32.770000000000003</v>
      </c>
      <c r="AD56" s="2">
        <f t="shared" si="0"/>
        <v>0.46000000000000085</v>
      </c>
      <c r="AE56" s="135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31.294499999999999</v>
      </c>
      <c r="R57" s="82"/>
      <c r="W57" s="93">
        <v>42752</v>
      </c>
      <c r="X57" s="360">
        <v>32.46</v>
      </c>
      <c r="Y57" s="40">
        <v>32.67</v>
      </c>
      <c r="Z57" s="40">
        <v>32.159999999999997</v>
      </c>
      <c r="AA57" s="360">
        <v>32.64</v>
      </c>
      <c r="AB57" s="94">
        <v>283300</v>
      </c>
      <c r="AC57" s="240">
        <v>32.64</v>
      </c>
      <c r="AD57" s="2">
        <f t="shared" si="0"/>
        <v>0.51000000000000512</v>
      </c>
      <c r="AE57" s="135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30.957999999999998</v>
      </c>
      <c r="R58" s="82"/>
      <c r="W58" s="93">
        <v>42748</v>
      </c>
      <c r="X58" s="360">
        <v>32.15</v>
      </c>
      <c r="Y58" s="40">
        <v>32.54</v>
      </c>
      <c r="Z58" s="40">
        <v>32.04</v>
      </c>
      <c r="AA58" s="360">
        <v>32.520000000000003</v>
      </c>
      <c r="AB58" s="94">
        <v>257000</v>
      </c>
      <c r="AC58" s="240">
        <v>32.520000000000003</v>
      </c>
      <c r="AD58" s="2">
        <f t="shared" si="0"/>
        <v>0.5</v>
      </c>
      <c r="AE58" s="135">
        <f t="shared" si="1"/>
        <v>1.2768607910308427E-2</v>
      </c>
    </row>
    <row r="59" spans="1:31" x14ac:dyDescent="0.25">
      <c r="B59" s="188" t="s">
        <v>113</v>
      </c>
      <c r="C59" s="188" t="s">
        <v>146</v>
      </c>
      <c r="D59" s="189" t="s">
        <v>145</v>
      </c>
      <c r="E59" s="191" t="s">
        <v>147</v>
      </c>
      <c r="F59" s="191" t="s">
        <v>65</v>
      </c>
      <c r="G59" s="226" t="s">
        <v>151</v>
      </c>
      <c r="H59" s="226" t="s">
        <v>88</v>
      </c>
      <c r="I59" s="226" t="s">
        <v>154</v>
      </c>
      <c r="O59" s="2"/>
      <c r="P59" s="82">
        <v>0.91</v>
      </c>
      <c r="Q59" s="82">
        <f t="shared" si="2"/>
        <v>30.621500000000001</v>
      </c>
      <c r="R59" s="82"/>
      <c r="W59" s="93">
        <v>42747</v>
      </c>
      <c r="X59" s="360">
        <v>31.7</v>
      </c>
      <c r="Y59" s="40">
        <v>32.15</v>
      </c>
      <c r="Z59" s="40">
        <v>31.61</v>
      </c>
      <c r="AA59" s="360">
        <v>32.11</v>
      </c>
      <c r="AB59" s="94">
        <v>244700</v>
      </c>
      <c r="AC59" s="240">
        <v>32.11</v>
      </c>
      <c r="AD59" s="2">
        <f t="shared" si="0"/>
        <v>0.53999999999999915</v>
      </c>
      <c r="AE59" s="135">
        <f t="shared" si="1"/>
        <v>8.1632653061223248E-3</v>
      </c>
    </row>
    <row r="60" spans="1:31" x14ac:dyDescent="0.25">
      <c r="B60" s="263">
        <v>42619</v>
      </c>
      <c r="C60" s="258">
        <v>50</v>
      </c>
      <c r="D60" s="259">
        <v>31.18</v>
      </c>
      <c r="E60" s="259">
        <v>31.29</v>
      </c>
      <c r="F60" s="259">
        <f t="shared" ref="F60:F65" si="3">C60*(E60-D60)</f>
        <v>5.4999999999999716</v>
      </c>
      <c r="G60" s="259">
        <f t="shared" ref="G60:G65" si="4">D60*C60</f>
        <v>1559</v>
      </c>
      <c r="H60" s="273">
        <f t="shared" ref="H60:H65" si="5">(E60-D60)/D60</f>
        <v>3.5279025016035736E-3</v>
      </c>
      <c r="I60" s="259"/>
      <c r="O60" s="2"/>
      <c r="P60" s="82">
        <v>0.9</v>
      </c>
      <c r="Q60" s="82">
        <f t="shared" si="2"/>
        <v>30.285</v>
      </c>
      <c r="R60" s="82"/>
      <c r="W60" s="93">
        <v>42746</v>
      </c>
      <c r="X60" s="360">
        <v>32.090000000000003</v>
      </c>
      <c r="Y60" s="40">
        <v>32.24</v>
      </c>
      <c r="Z60" s="40">
        <v>31.69</v>
      </c>
      <c r="AA60" s="360">
        <v>31.85</v>
      </c>
      <c r="AB60" s="94">
        <v>292300</v>
      </c>
      <c r="AC60" s="240">
        <v>31.85</v>
      </c>
      <c r="AD60" s="2">
        <f t="shared" si="0"/>
        <v>0.55000000000000071</v>
      </c>
      <c r="AE60" s="135">
        <f t="shared" si="1"/>
        <v>-7.7881619937694158E-3</v>
      </c>
    </row>
    <row r="61" spans="1:31" x14ac:dyDescent="0.25">
      <c r="B61" s="263">
        <v>42620</v>
      </c>
      <c r="C61" s="258">
        <v>50</v>
      </c>
      <c r="D61" s="259">
        <v>31.18</v>
      </c>
      <c r="E61" s="259">
        <v>31.51</v>
      </c>
      <c r="F61" s="259">
        <f t="shared" si="3"/>
        <v>16.500000000000092</v>
      </c>
      <c r="G61" s="259">
        <f t="shared" si="4"/>
        <v>1559</v>
      </c>
      <c r="H61" s="273">
        <f t="shared" si="5"/>
        <v>1.0583707504810835E-2</v>
      </c>
      <c r="I61" s="259"/>
      <c r="W61" s="93">
        <v>42745</v>
      </c>
      <c r="X61" s="360">
        <v>31.82</v>
      </c>
      <c r="Y61" s="40">
        <v>32.340000000000003</v>
      </c>
      <c r="Z61" s="40">
        <v>31.66</v>
      </c>
      <c r="AA61" s="360">
        <v>32.1</v>
      </c>
      <c r="AB61" s="94">
        <v>581000</v>
      </c>
      <c r="AC61" s="240">
        <v>32.1</v>
      </c>
      <c r="AD61" s="2">
        <f t="shared" si="0"/>
        <v>0.68000000000000327</v>
      </c>
      <c r="AE61" s="135">
        <f t="shared" si="1"/>
        <v>9.7514941805600941E-3</v>
      </c>
    </row>
    <row r="62" spans="1:31" x14ac:dyDescent="0.25">
      <c r="B62" s="263">
        <v>42621</v>
      </c>
      <c r="C62" s="258">
        <v>50</v>
      </c>
      <c r="D62" s="259">
        <v>31.18</v>
      </c>
      <c r="E62" s="259">
        <v>31.65</v>
      </c>
      <c r="F62" s="259">
        <f t="shared" si="3"/>
        <v>23.499999999999943</v>
      </c>
      <c r="G62" s="259">
        <f t="shared" si="4"/>
        <v>1559</v>
      </c>
      <c r="H62" s="273">
        <f t="shared" si="5"/>
        <v>1.5073765234124403E-2</v>
      </c>
      <c r="I62" s="259"/>
      <c r="W62" s="93">
        <v>42744</v>
      </c>
      <c r="X62" s="360">
        <v>31.86</v>
      </c>
      <c r="Y62" s="40">
        <v>31.97</v>
      </c>
      <c r="Z62" s="40">
        <v>31.62</v>
      </c>
      <c r="AA62" s="360">
        <v>31.79</v>
      </c>
      <c r="AB62" s="94">
        <v>678600</v>
      </c>
      <c r="AC62" s="240">
        <v>31.79</v>
      </c>
      <c r="AD62" s="2">
        <f t="shared" si="0"/>
        <v>0.34999999999999787</v>
      </c>
      <c r="AE62" s="135">
        <f t="shared" si="1"/>
        <v>-6.2873310279787376E-4</v>
      </c>
    </row>
    <row r="63" spans="1:31" x14ac:dyDescent="0.25">
      <c r="B63" s="263">
        <v>42622</v>
      </c>
      <c r="C63" s="258">
        <v>50</v>
      </c>
      <c r="D63" s="259">
        <v>31.18</v>
      </c>
      <c r="E63" s="259">
        <v>31.5</v>
      </c>
      <c r="F63" s="259">
        <f t="shared" si="3"/>
        <v>16.000000000000014</v>
      </c>
      <c r="G63" s="259">
        <f t="shared" si="4"/>
        <v>1559</v>
      </c>
      <c r="H63" s="273">
        <f t="shared" si="5"/>
        <v>1.0262989095574096E-2</v>
      </c>
      <c r="I63" s="259"/>
      <c r="W63" s="93">
        <v>42741</v>
      </c>
      <c r="X63" s="360">
        <v>31.12</v>
      </c>
      <c r="Y63" s="40">
        <v>31.82</v>
      </c>
      <c r="Z63" s="40">
        <v>31</v>
      </c>
      <c r="AA63" s="360">
        <v>31.81</v>
      </c>
      <c r="AB63" s="94">
        <v>376900</v>
      </c>
      <c r="AC63" s="240">
        <v>31.81</v>
      </c>
      <c r="AD63" s="2">
        <f t="shared" si="0"/>
        <v>0.82000000000000028</v>
      </c>
      <c r="AE63" s="135">
        <f t="shared" si="1"/>
        <v>2.2172236503855913E-2</v>
      </c>
    </row>
    <row r="64" spans="1:31" x14ac:dyDescent="0.25">
      <c r="B64" s="263">
        <v>42634</v>
      </c>
      <c r="C64" s="258">
        <v>50</v>
      </c>
      <c r="D64" s="259">
        <v>31.18</v>
      </c>
      <c r="E64" s="259">
        <v>32.049999999999997</v>
      </c>
      <c r="F64" s="259">
        <f t="shared" si="3"/>
        <v>43.499999999999872</v>
      </c>
      <c r="G64" s="259">
        <f t="shared" si="4"/>
        <v>1559</v>
      </c>
      <c r="H64" s="273">
        <f t="shared" si="5"/>
        <v>2.7902501603591964E-2</v>
      </c>
      <c r="I64" s="259"/>
      <c r="W64" s="93">
        <v>42740</v>
      </c>
      <c r="X64" s="360">
        <v>31.12</v>
      </c>
      <c r="Y64" s="40">
        <v>31.55</v>
      </c>
      <c r="Z64" s="40">
        <v>31.03</v>
      </c>
      <c r="AA64" s="360">
        <v>31.12</v>
      </c>
      <c r="AB64" s="94">
        <v>871500</v>
      </c>
      <c r="AC64" s="240">
        <v>31.12</v>
      </c>
      <c r="AD64" s="2">
        <f t="shared" si="0"/>
        <v>0.51999999999999957</v>
      </c>
      <c r="AE64" s="135">
        <f t="shared" si="1"/>
        <v>3.2144005143042165E-4</v>
      </c>
    </row>
    <row r="65" spans="2:31" x14ac:dyDescent="0.25">
      <c r="B65" s="263">
        <v>42648</v>
      </c>
      <c r="C65" s="258">
        <v>50</v>
      </c>
      <c r="D65" s="259">
        <v>31.18</v>
      </c>
      <c r="E65" s="259">
        <v>31.87</v>
      </c>
      <c r="F65" s="259">
        <f t="shared" si="3"/>
        <v>34.500000000000064</v>
      </c>
      <c r="G65" s="259">
        <f t="shared" si="4"/>
        <v>1559</v>
      </c>
      <c r="H65" s="273">
        <f t="shared" si="5"/>
        <v>2.2129570237331662E-2</v>
      </c>
      <c r="I65" s="259"/>
      <c r="W65" s="93">
        <v>42739</v>
      </c>
      <c r="X65" s="360">
        <v>31.05</v>
      </c>
      <c r="Y65" s="40">
        <v>31.65</v>
      </c>
      <c r="Z65" s="40">
        <v>30.96</v>
      </c>
      <c r="AA65" s="360">
        <v>31.11</v>
      </c>
      <c r="AB65" s="94">
        <v>895800</v>
      </c>
      <c r="AC65" s="240">
        <v>31.11</v>
      </c>
      <c r="AD65" s="2">
        <f t="shared" si="0"/>
        <v>0.68999999999999773</v>
      </c>
      <c r="AE65" s="135">
        <f t="shared" si="1"/>
        <v>9.6525096525090781E-4</v>
      </c>
    </row>
    <row r="66" spans="2:31" x14ac:dyDescent="0.25">
      <c r="B66" s="263">
        <v>42649</v>
      </c>
      <c r="C66" s="258">
        <v>50</v>
      </c>
      <c r="D66" s="259">
        <v>31.18</v>
      </c>
      <c r="E66" s="259">
        <v>31.61</v>
      </c>
      <c r="F66" s="259">
        <f>C66*(E66-D66)</f>
        <v>21.499999999999986</v>
      </c>
      <c r="G66" s="259">
        <f>D66*C66</f>
        <v>1559</v>
      </c>
      <c r="H66" s="273">
        <f>(E66-D66)/D66</f>
        <v>1.379089159717767E-2</v>
      </c>
      <c r="I66" s="259"/>
      <c r="W66" s="93">
        <v>42738</v>
      </c>
      <c r="X66" s="360">
        <v>30.41</v>
      </c>
      <c r="Y66" s="40">
        <v>31.08</v>
      </c>
      <c r="Z66" s="40">
        <v>30.26</v>
      </c>
      <c r="AA66" s="360">
        <v>31.08</v>
      </c>
      <c r="AB66" s="94">
        <v>572200</v>
      </c>
      <c r="AC66" s="240">
        <v>31.08</v>
      </c>
      <c r="AD66" s="2">
        <f t="shared" si="0"/>
        <v>0.81999999999999673</v>
      </c>
      <c r="AE66" s="135">
        <f t="shared" si="1"/>
        <v>2.3715415019762709E-2</v>
      </c>
    </row>
    <row r="67" spans="2:31" x14ac:dyDescent="0.25">
      <c r="B67" s="263">
        <v>42701</v>
      </c>
      <c r="C67" s="258">
        <v>50</v>
      </c>
      <c r="D67" s="259">
        <v>31.18</v>
      </c>
      <c r="E67" s="259">
        <v>29.98</v>
      </c>
      <c r="F67" s="259">
        <f>C67*(E67-D67)</f>
        <v>-59.999999999999964</v>
      </c>
      <c r="G67" s="259">
        <f>D67*C67</f>
        <v>1559</v>
      </c>
      <c r="H67" s="273">
        <f>(E67-D67)/D67</f>
        <v>-3.8486209108402801E-2</v>
      </c>
      <c r="I67" s="259"/>
      <c r="W67" s="93">
        <v>42734</v>
      </c>
      <c r="X67" s="360">
        <v>30.42</v>
      </c>
      <c r="Y67" s="40">
        <v>30.48</v>
      </c>
      <c r="Z67" s="40">
        <v>30.21</v>
      </c>
      <c r="AA67" s="360">
        <v>30.36</v>
      </c>
      <c r="AB67" s="94">
        <v>304700</v>
      </c>
      <c r="AC67" s="240">
        <v>30.36</v>
      </c>
      <c r="AD67" s="2">
        <f t="shared" si="0"/>
        <v>0.26999999999999957</v>
      </c>
      <c r="AE67" s="135" t="e">
        <f t="shared" si="1"/>
        <v>#DIV/0!</v>
      </c>
    </row>
    <row r="68" spans="2:31" x14ac:dyDescent="0.25">
      <c r="B68" s="263">
        <v>42741</v>
      </c>
      <c r="C68" s="258">
        <v>0</v>
      </c>
      <c r="D68" s="259"/>
      <c r="E68" s="259">
        <v>21.97</v>
      </c>
      <c r="F68" s="259"/>
      <c r="G68" s="259"/>
      <c r="H68" s="273"/>
      <c r="I68" s="259"/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:31" x14ac:dyDescent="0.25">
      <c r="B69" s="190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8">
        <f>(E69-D69)/D69</f>
        <v>5.0204918032786844E-2</v>
      </c>
      <c r="I69" s="40"/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  <row r="70" spans="2:31" x14ac:dyDescent="0.25">
      <c r="B70" s="190">
        <v>42804</v>
      </c>
      <c r="C70" s="10">
        <v>0</v>
      </c>
      <c r="D70" s="40"/>
      <c r="E70" s="40">
        <v>30.85</v>
      </c>
      <c r="F70" s="40">
        <v>149.93</v>
      </c>
      <c r="G70" s="40"/>
      <c r="H70" s="228"/>
      <c r="I70" s="40"/>
    </row>
    <row r="71" spans="2:31" x14ac:dyDescent="0.25">
      <c r="B71" s="190"/>
      <c r="C71" s="10"/>
      <c r="D71" s="40"/>
      <c r="E71" s="40"/>
      <c r="F71" s="40"/>
      <c r="G71" s="40"/>
      <c r="H71" s="228"/>
      <c r="I71" s="40"/>
    </row>
    <row r="72" spans="2:31" x14ac:dyDescent="0.25">
      <c r="B72" s="190"/>
      <c r="C72" s="10"/>
      <c r="D72" s="40"/>
      <c r="E72" s="40"/>
      <c r="F72" s="40"/>
      <c r="G72" s="40"/>
      <c r="H72" s="228"/>
      <c r="I72" s="40"/>
    </row>
    <row r="73" spans="2:31" x14ac:dyDescent="0.25">
      <c r="B73" s="190"/>
      <c r="C73" s="10"/>
      <c r="D73" s="40"/>
      <c r="E73" s="40"/>
      <c r="F73" s="40"/>
      <c r="G73" s="40"/>
      <c r="H73" s="228"/>
      <c r="I73" s="40"/>
    </row>
    <row r="74" spans="2:31" x14ac:dyDescent="0.25">
      <c r="B74" s="190"/>
      <c r="C74" s="10"/>
      <c r="D74" s="40"/>
      <c r="E74" s="40"/>
      <c r="F74" s="40"/>
      <c r="G74" s="40"/>
      <c r="H74" s="228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04" priority="31">
      <formula>F29&gt;0</formula>
    </cfRule>
    <cfRule type="expression" dxfId="1303" priority="32">
      <formula>F29&lt;0</formula>
    </cfRule>
  </conditionalFormatting>
  <conditionalFormatting sqref="F29 F31:F35">
    <cfRule type="expression" dxfId="1302" priority="33">
      <formula>F29&gt;0</formula>
    </cfRule>
    <cfRule type="expression" dxfId="1301" priority="34">
      <formula>F29&lt;0</formula>
    </cfRule>
  </conditionalFormatting>
  <conditionalFormatting sqref="H29 H31:H35">
    <cfRule type="expression" dxfId="1300" priority="29">
      <formula>H29&gt;0</formula>
    </cfRule>
    <cfRule type="expression" dxfId="1299" priority="30">
      <formula>H29&lt;0</formula>
    </cfRule>
  </conditionalFormatting>
  <conditionalFormatting sqref="F21:F28">
    <cfRule type="expression" dxfId="1298" priority="27">
      <formula>F21&gt;0</formula>
    </cfRule>
    <cfRule type="expression" dxfId="1297" priority="28">
      <formula>F21&lt;0</formula>
    </cfRule>
  </conditionalFormatting>
  <conditionalFormatting sqref="H21:H28">
    <cfRule type="expression" dxfId="1296" priority="25">
      <formula>H21&gt;0</formula>
    </cfRule>
    <cfRule type="expression" dxfId="1295" priority="26">
      <formula>H21&lt;0</formula>
    </cfRule>
  </conditionalFormatting>
  <conditionalFormatting sqref="Q8">
    <cfRule type="expression" dxfId="1294" priority="21">
      <formula>Q8&gt;0</formula>
    </cfRule>
    <cfRule type="expression" dxfId="1293" priority="22">
      <formula>Q8&lt;0</formula>
    </cfRule>
  </conditionalFormatting>
  <conditionalFormatting sqref="Q7">
    <cfRule type="expression" dxfId="1292" priority="23">
      <formula>Q7&gt;0</formula>
    </cfRule>
    <cfRule type="expression" dxfId="1291" priority="24">
      <formula>Q7&lt;0</formula>
    </cfRule>
  </conditionalFormatting>
  <conditionalFormatting sqref="F30">
    <cfRule type="expression" dxfId="1290" priority="19">
      <formula>F30&gt;0</formula>
    </cfRule>
    <cfRule type="expression" dxfId="1289" priority="20">
      <formula>F30&lt;0</formula>
    </cfRule>
  </conditionalFormatting>
  <conditionalFormatting sqref="H30">
    <cfRule type="expression" dxfId="1288" priority="17">
      <formula>H30&gt;0</formula>
    </cfRule>
    <cfRule type="expression" dxfId="1287" priority="18">
      <formula>H30&lt;0</formula>
    </cfRule>
  </conditionalFormatting>
  <conditionalFormatting sqref="F68 F70:F74">
    <cfRule type="expression" dxfId="1286" priority="13">
      <formula>F68&gt;0</formula>
    </cfRule>
    <cfRule type="expression" dxfId="1285" priority="14">
      <formula>F68&lt;0</formula>
    </cfRule>
  </conditionalFormatting>
  <conditionalFormatting sqref="F68 F70:F74">
    <cfRule type="expression" dxfId="1284" priority="15">
      <formula>F68&gt;0</formula>
    </cfRule>
    <cfRule type="expression" dxfId="1283" priority="16">
      <formula>F68&lt;0</formula>
    </cfRule>
  </conditionalFormatting>
  <conditionalFormatting sqref="H68 H70:H74">
    <cfRule type="expression" dxfId="1282" priority="11">
      <formula>H68&gt;0</formula>
    </cfRule>
    <cfRule type="expression" dxfId="1281" priority="12">
      <formula>H68&lt;0</formula>
    </cfRule>
  </conditionalFormatting>
  <conditionalFormatting sqref="F60:F67">
    <cfRule type="expression" dxfId="1280" priority="9">
      <formula>F60&gt;0</formula>
    </cfRule>
    <cfRule type="expression" dxfId="1279" priority="10">
      <formula>F60&lt;0</formula>
    </cfRule>
  </conditionalFormatting>
  <conditionalFormatting sqref="H60:H67">
    <cfRule type="expression" dxfId="1278" priority="7">
      <formula>H60&gt;0</formula>
    </cfRule>
    <cfRule type="expression" dxfId="1277" priority="8">
      <formula>H60&lt;0</formula>
    </cfRule>
  </conditionalFormatting>
  <conditionalFormatting sqref="F69">
    <cfRule type="expression" dxfId="1276" priority="5">
      <formula>F69&gt;0</formula>
    </cfRule>
    <cfRule type="expression" dxfId="1275" priority="6">
      <formula>F69&lt;0</formula>
    </cfRule>
  </conditionalFormatting>
  <conditionalFormatting sqref="H69">
    <cfRule type="expression" dxfId="1274" priority="3">
      <formula>H69&gt;0</formula>
    </cfRule>
    <cfRule type="expression" dxfId="1273" priority="4">
      <formula>H69&lt;0</formula>
    </cfRule>
  </conditionalFormatting>
  <conditionalFormatting sqref="Q10">
    <cfRule type="expression" dxfId="1272" priority="1">
      <formula>Q10&gt;0</formula>
    </cfRule>
    <cfRule type="expression" dxfId="127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5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27.85</v>
      </c>
      <c r="T3" s="1"/>
      <c r="W3" s="131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5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27.85</v>
      </c>
      <c r="R4" s="497">
        <v>-1.2800000000000001E-2</v>
      </c>
      <c r="T4" s="160"/>
      <c r="U4" s="1"/>
      <c r="W4" s="131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5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5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5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1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5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5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5">
        <f t="shared" si="1"/>
        <v>1.2055837563451854E-2</v>
      </c>
    </row>
    <row r="10" spans="1:31" x14ac:dyDescent="0.25">
      <c r="H10" s="71"/>
      <c r="O10" s="11" t="s">
        <v>210</v>
      </c>
      <c r="P10" s="34"/>
      <c r="Q10" s="2">
        <f>M44</f>
        <v>98.449999999999818</v>
      </c>
      <c r="W10" s="131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5">
        <f t="shared" si="1"/>
        <v>6.0644749441429724E-3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1.11E-2</v>
      </c>
      <c r="W11" s="131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5">
        <f t="shared" si="1"/>
        <v>1.1624152405553811E-2</v>
      </c>
    </row>
    <row r="12" spans="1:31" x14ac:dyDescent="0.25">
      <c r="H12" s="71"/>
      <c r="W12" s="131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5">
        <f t="shared" si="1"/>
        <v>1.3416230366492199E-2</v>
      </c>
    </row>
    <row r="13" spans="1:31" x14ac:dyDescent="0.25">
      <c r="H13" s="71"/>
      <c r="W13" s="131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5">
        <f t="shared" si="1"/>
        <v>-2.285341168788757E-3</v>
      </c>
    </row>
    <row r="14" spans="1:31" x14ac:dyDescent="0.25">
      <c r="H14" s="71"/>
      <c r="W14" s="131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5">
        <f t="shared" si="1"/>
        <v>-6.1648280337444072E-3</v>
      </c>
    </row>
    <row r="15" spans="1:31" x14ac:dyDescent="0.25">
      <c r="H15" s="71"/>
      <c r="W15" s="131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5">
        <f t="shared" si="1"/>
        <v>1.9505851755525772E-3</v>
      </c>
    </row>
    <row r="16" spans="1:31" x14ac:dyDescent="0.25">
      <c r="H16" s="71"/>
      <c r="W16" s="131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5">
        <f t="shared" si="1"/>
        <v>6.5061808718303027E-4</v>
      </c>
    </row>
    <row r="17" spans="1:31" x14ac:dyDescent="0.25">
      <c r="W17" s="131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5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5">
        <f t="shared" si="1"/>
        <v>6.5573770491811345E-4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5" t="e">
        <f t="shared" si="1"/>
        <v>#DIV/0!</v>
      </c>
    </row>
    <row r="20" spans="1:31" x14ac:dyDescent="0.25">
      <c r="W20" s="131">
        <v>42807</v>
      </c>
      <c r="X20" s="10" t="s">
        <v>280</v>
      </c>
      <c r="Y20" s="10"/>
      <c r="Z20" s="10"/>
      <c r="AA20" s="10"/>
      <c r="AB20" s="94"/>
      <c r="AC20" s="10"/>
      <c r="AD20" s="2">
        <f t="shared" si="0"/>
        <v>0</v>
      </c>
      <c r="AE20" s="135">
        <f t="shared" si="1"/>
        <v>-1</v>
      </c>
    </row>
    <row r="21" spans="1:31" x14ac:dyDescent="0.25">
      <c r="W21" s="131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5">
        <f t="shared" si="1"/>
        <v>-4.9148099606814988E-3</v>
      </c>
    </row>
    <row r="22" spans="1:31" x14ac:dyDescent="0.25">
      <c r="W22" s="131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5">
        <f t="shared" si="1"/>
        <v>1.1600928074245953E-2</v>
      </c>
    </row>
    <row r="23" spans="1:31" x14ac:dyDescent="0.25">
      <c r="W23" s="131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5">
        <f t="shared" si="1"/>
        <v>-5.6031641397494836E-3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5">
        <f t="shared" si="1"/>
        <v>-5.5719436250409871E-3</v>
      </c>
    </row>
    <row r="25" spans="1:31" x14ac:dyDescent="0.25">
      <c r="B25" s="190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8">
        <f t="shared" ref="H25:H31" si="4">(E25-D25)/D25</f>
        <v>5.7660626029654265E-3</v>
      </c>
      <c r="I25" s="40"/>
      <c r="W25" s="131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5">
        <f t="shared" si="1"/>
        <v>7.5957727873183778E-3</v>
      </c>
    </row>
    <row r="26" spans="1:31" x14ac:dyDescent="0.25">
      <c r="B26" s="190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8">
        <f t="shared" si="4"/>
        <v>4.1186161449752005E-3</v>
      </c>
      <c r="I26" s="40"/>
      <c r="W26" s="131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5">
        <f t="shared" si="1"/>
        <v>8.6608927381746081E-3</v>
      </c>
    </row>
    <row r="27" spans="1:31" x14ac:dyDescent="0.25">
      <c r="B27" s="190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8">
        <f t="shared" si="4"/>
        <v>1.9357495881383809E-2</v>
      </c>
      <c r="I27" s="40"/>
      <c r="W27" s="131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5">
        <f t="shared" si="1"/>
        <v>-6.9467416473701915E-3</v>
      </c>
    </row>
    <row r="28" spans="1:31" x14ac:dyDescent="0.25">
      <c r="B28" s="190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8">
        <f t="shared" si="4"/>
        <v>-2.9242174629324581E-2</v>
      </c>
      <c r="I28" s="40"/>
      <c r="W28" s="131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5">
        <f t="shared" si="1"/>
        <v>1.6476126429051829E-2</v>
      </c>
    </row>
    <row r="29" spans="1:31" x14ac:dyDescent="0.25">
      <c r="B29" s="190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8">
        <f t="shared" si="4"/>
        <v>8.2372322899504011E-4</v>
      </c>
      <c r="I29" s="40"/>
      <c r="W29" s="131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5">
        <f t="shared" si="1"/>
        <v>-1.6859504132231473E-2</v>
      </c>
    </row>
    <row r="30" spans="1:31" x14ac:dyDescent="0.25">
      <c r="B30" s="190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8">
        <f t="shared" si="4"/>
        <v>-3.2948929159803066E-3</v>
      </c>
      <c r="I30" s="40"/>
      <c r="W30" s="131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5">
        <f t="shared" si="1"/>
        <v>-5.9152152481104503E-3</v>
      </c>
    </row>
    <row r="31" spans="1:31" x14ac:dyDescent="0.25">
      <c r="B31" s="190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8">
        <f t="shared" si="4"/>
        <v>1.8533772652388768E-2</v>
      </c>
      <c r="I31" s="40"/>
      <c r="W31" s="131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5">
        <f t="shared" si="1"/>
        <v>8.9522546419098514E-3</v>
      </c>
    </row>
    <row r="32" spans="1:31" x14ac:dyDescent="0.25">
      <c r="B32" s="190">
        <v>42663</v>
      </c>
      <c r="C32" s="10">
        <v>0</v>
      </c>
      <c r="D32" s="40"/>
      <c r="E32" s="40"/>
      <c r="F32" s="40">
        <v>98.45</v>
      </c>
      <c r="G32" s="40"/>
      <c r="H32" s="228"/>
      <c r="I32" s="40"/>
      <c r="W32" s="131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5">
        <f t="shared" si="1"/>
        <v>-4.2918454935622075E-3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5">
        <f t="shared" si="1"/>
        <v>-2.6341784655911082E-3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5">
        <f t="shared" si="1"/>
        <v>6.6291017567119415E-3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5">
        <f t="shared" si="1"/>
        <v>-5.2753049785689843E-3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5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7"/>
      <c r="I37" s="3"/>
      <c r="W37" s="131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5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7"/>
      <c r="I38" s="3"/>
      <c r="W38" s="131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5">
        <f t="shared" si="1"/>
        <v>1.9634394041976977E-2</v>
      </c>
    </row>
    <row r="39" spans="1:31" x14ac:dyDescent="0.25">
      <c r="A39" s="23" t="s">
        <v>294</v>
      </c>
      <c r="B39" s="73"/>
      <c r="C39" s="4"/>
      <c r="D39" s="3"/>
      <c r="E39" s="3"/>
      <c r="F39" s="3"/>
      <c r="G39" s="3"/>
      <c r="H39" s="277"/>
      <c r="I39" s="3"/>
      <c r="W39" s="131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5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7"/>
      <c r="I40" s="3"/>
      <c r="O40" s="716" t="s">
        <v>78</v>
      </c>
      <c r="P40" s="716"/>
      <c r="W40" s="131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5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7"/>
      <c r="I41" s="3"/>
      <c r="O41" s="82">
        <v>1.1000000000000001</v>
      </c>
      <c r="P41" s="82">
        <f>O41*$Q$4</f>
        <v>30.635000000000005</v>
      </c>
      <c r="Q41" s="2"/>
      <c r="W41" s="131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5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7"/>
      <c r="I42" s="3"/>
      <c r="O42" s="82">
        <v>1.0900000000000001</v>
      </c>
      <c r="P42" s="82">
        <f t="shared" ref="P42:P61" si="5">O42*$Q$4</f>
        <v>30.356500000000004</v>
      </c>
      <c r="Q42" s="2"/>
      <c r="T42" s="90" t="s">
        <v>112</v>
      </c>
      <c r="W42" s="131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5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7"/>
      <c r="I43" s="3"/>
      <c r="O43" s="82">
        <v>1.08</v>
      </c>
      <c r="P43" s="82">
        <f t="shared" si="5"/>
        <v>30.078000000000003</v>
      </c>
      <c r="Q43" s="2"/>
      <c r="T43" s="126" t="s">
        <v>97</v>
      </c>
      <c r="U43" s="127">
        <v>31.75</v>
      </c>
      <c r="W43" s="131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5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7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29.799500000000002</v>
      </c>
      <c r="Q44" s="2"/>
      <c r="T44" s="92" t="s">
        <v>98</v>
      </c>
      <c r="U44" s="128">
        <v>31.78</v>
      </c>
      <c r="W44" s="131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5">
        <f t="shared" si="1"/>
        <v>-1.0573534123678341E-2</v>
      </c>
    </row>
    <row r="45" spans="1:31" x14ac:dyDescent="0.25">
      <c r="A45" s="260" t="s">
        <v>1</v>
      </c>
      <c r="B45" s="260" t="s">
        <v>2</v>
      </c>
      <c r="C45" s="260" t="s">
        <v>4</v>
      </c>
      <c r="D45" s="261" t="s">
        <v>5</v>
      </c>
      <c r="E45" s="261" t="s">
        <v>94</v>
      </c>
      <c r="F45" s="261" t="s">
        <v>60</v>
      </c>
      <c r="G45" s="260" t="s">
        <v>3</v>
      </c>
      <c r="H45" s="260" t="s">
        <v>6</v>
      </c>
      <c r="I45" s="261" t="s">
        <v>7</v>
      </c>
      <c r="J45" s="261" t="s">
        <v>95</v>
      </c>
      <c r="K45" s="261" t="s">
        <v>61</v>
      </c>
      <c r="L45" s="260" t="s">
        <v>37</v>
      </c>
      <c r="M45" s="260" t="s">
        <v>38</v>
      </c>
      <c r="O45" s="82">
        <v>1.06</v>
      </c>
      <c r="P45" s="82">
        <f t="shared" si="5"/>
        <v>29.521000000000004</v>
      </c>
      <c r="Q45" s="2"/>
      <c r="T45" s="92" t="s">
        <v>99</v>
      </c>
      <c r="U45" s="128" t="s">
        <v>626</v>
      </c>
      <c r="W45" s="131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5">
        <f t="shared" si="1"/>
        <v>-1.9187719859289354E-3</v>
      </c>
    </row>
    <row r="46" spans="1:31" x14ac:dyDescent="0.25">
      <c r="A46" s="262" t="s">
        <v>274</v>
      </c>
      <c r="B46" s="263">
        <v>42619</v>
      </c>
      <c r="C46" s="258">
        <v>100</v>
      </c>
      <c r="D46" s="259">
        <v>24.28</v>
      </c>
      <c r="E46" s="259">
        <v>0</v>
      </c>
      <c r="F46" s="259">
        <f>D46*C46+E46</f>
        <v>2428</v>
      </c>
      <c r="G46" s="263">
        <v>42663</v>
      </c>
      <c r="H46" s="264">
        <v>100</v>
      </c>
      <c r="I46" s="259">
        <v>25.09</v>
      </c>
      <c r="J46" s="259">
        <v>0.55000000000000004</v>
      </c>
      <c r="K46" s="259">
        <f>H46*I46-J46</f>
        <v>2508.4499999999998</v>
      </c>
      <c r="L46" s="263">
        <v>42662</v>
      </c>
      <c r="M46" s="259">
        <v>18</v>
      </c>
      <c r="O46" s="82">
        <v>1.05</v>
      </c>
      <c r="P46" s="82">
        <f t="shared" si="5"/>
        <v>29.242500000000003</v>
      </c>
      <c r="Q46" s="2"/>
      <c r="T46" s="92" t="s">
        <v>100</v>
      </c>
      <c r="U46" s="128" t="s">
        <v>128</v>
      </c>
      <c r="W46" s="131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5">
        <f t="shared" si="1"/>
        <v>-5.0906776964683154E-3</v>
      </c>
    </row>
    <row r="47" spans="1:31" x14ac:dyDescent="0.25">
      <c r="A47" s="265" t="s">
        <v>71</v>
      </c>
      <c r="B47" s="263"/>
      <c r="C47" s="258"/>
      <c r="D47" s="259"/>
      <c r="E47" s="259"/>
      <c r="F47" s="259"/>
      <c r="G47" s="263"/>
      <c r="H47" s="264"/>
      <c r="I47" s="259"/>
      <c r="J47" s="259"/>
      <c r="K47" s="259"/>
      <c r="L47" s="258"/>
      <c r="M47" s="258"/>
      <c r="O47" s="82">
        <v>1.04</v>
      </c>
      <c r="P47" s="82">
        <f t="shared" si="5"/>
        <v>28.964000000000002</v>
      </c>
      <c r="Q47" s="2"/>
      <c r="T47" s="92" t="s">
        <v>101</v>
      </c>
      <c r="U47" s="128">
        <v>34.090000000000003</v>
      </c>
      <c r="W47" s="131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5">
        <f t="shared" si="1"/>
        <v>7.3717948717948456E-3</v>
      </c>
    </row>
    <row r="48" spans="1:31" x14ac:dyDescent="0.25">
      <c r="A48" s="258"/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58"/>
      <c r="M48" s="258"/>
      <c r="O48" s="82">
        <v>1.03</v>
      </c>
      <c r="P48" s="82">
        <f t="shared" si="5"/>
        <v>28.685500000000001</v>
      </c>
      <c r="Q48" s="2"/>
      <c r="T48" s="92" t="s">
        <v>102</v>
      </c>
      <c r="U48" s="128">
        <v>1.5157</v>
      </c>
      <c r="W48" s="131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5">
        <f t="shared" si="1"/>
        <v>3.2061558191731621E-4</v>
      </c>
    </row>
    <row r="49" spans="1:31" x14ac:dyDescent="0.25">
      <c r="A49" s="258"/>
      <c r="B49" s="263"/>
      <c r="C49" s="258"/>
      <c r="D49" s="259"/>
      <c r="E49" s="259"/>
      <c r="F49" s="259"/>
      <c r="G49" s="258"/>
      <c r="H49" s="264"/>
      <c r="I49" s="259"/>
      <c r="J49" s="259"/>
      <c r="K49" s="259"/>
      <c r="L49" s="258"/>
      <c r="M49" s="258"/>
      <c r="O49" s="82">
        <v>1.02</v>
      </c>
      <c r="P49" s="82">
        <f t="shared" si="5"/>
        <v>28.407000000000004</v>
      </c>
      <c r="Q49" s="2"/>
      <c r="T49" s="92" t="s">
        <v>121</v>
      </c>
      <c r="U49" s="128" t="s">
        <v>444</v>
      </c>
      <c r="W49" s="131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5">
        <f t="shared" si="1"/>
        <v>2.5715204114433732E-3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5"/>
        <v>28.128500000000003</v>
      </c>
      <c r="Q50" s="2"/>
      <c r="T50" s="92"/>
      <c r="U50" s="128"/>
      <c r="W50" s="131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5">
        <f t="shared" si="1"/>
        <v>9.4094743672938908E-3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5"/>
        <v>27.85</v>
      </c>
      <c r="Q51" s="2"/>
      <c r="T51" s="92" t="s">
        <v>104</v>
      </c>
      <c r="U51" s="128" t="s">
        <v>627</v>
      </c>
      <c r="W51" s="131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5">
        <f t="shared" si="1"/>
        <v>2.3240371845949515E-2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5"/>
        <v>27.5715</v>
      </c>
      <c r="Q52" s="2"/>
      <c r="T52" s="92" t="s">
        <v>105</v>
      </c>
      <c r="U52" s="128" t="s">
        <v>569</v>
      </c>
      <c r="W52" s="131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5">
        <f t="shared" si="1"/>
        <v>6.6445182724250706E-4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5"/>
        <v>27.292999999999999</v>
      </c>
      <c r="Q53" s="2"/>
      <c r="T53" s="92" t="s">
        <v>106</v>
      </c>
      <c r="U53" s="129">
        <v>8602257</v>
      </c>
      <c r="W53" s="131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5">
        <f t="shared" si="1"/>
        <v>9.3896713615024829E-3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5"/>
        <v>27.014500000000002</v>
      </c>
      <c r="T54" s="92" t="s">
        <v>109</v>
      </c>
      <c r="U54" s="129">
        <v>7388890</v>
      </c>
      <c r="W54" s="131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5">
        <f t="shared" si="1"/>
        <v>-1.6739203213926857E-3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5"/>
        <v>26.736000000000001</v>
      </c>
      <c r="T55" s="92" t="s">
        <v>107</v>
      </c>
      <c r="U55" s="128" t="s">
        <v>628</v>
      </c>
      <c r="W55" s="131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5">
        <f t="shared" si="1"/>
        <v>8.4402430790007088E-3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5"/>
        <v>26.4575</v>
      </c>
      <c r="T56" s="92" t="s">
        <v>110</v>
      </c>
      <c r="U56" s="128">
        <v>19.12</v>
      </c>
      <c r="W56" s="131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5">
        <f t="shared" si="1"/>
        <v>-1.5619807244931838E-2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26.178999999999998</v>
      </c>
      <c r="T57" s="92" t="s">
        <v>111</v>
      </c>
      <c r="U57" s="128">
        <v>1.64</v>
      </c>
      <c r="W57" s="131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5">
        <f t="shared" si="1"/>
        <v>1.1428571428571344E-2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25.900500000000001</v>
      </c>
      <c r="T58" s="92" t="s">
        <v>108</v>
      </c>
      <c r="U58" s="128" t="s">
        <v>570</v>
      </c>
      <c r="W58" s="131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5">
        <f t="shared" si="1"/>
        <v>-3.3500837520938909E-3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25.622000000000003</v>
      </c>
      <c r="W59" s="131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5">
        <f t="shared" si="1"/>
        <v>7.4249071886602902E-3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25.343500000000002</v>
      </c>
      <c r="W60" s="131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5">
        <f t="shared" si="1"/>
        <v>-9.0301003344481767E-3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58"/>
      <c r="I61" s="259"/>
      <c r="J61" s="259"/>
      <c r="K61" s="259"/>
      <c r="L61" s="258"/>
      <c r="M61" s="258"/>
      <c r="O61" s="82">
        <v>0.9</v>
      </c>
      <c r="P61" s="82">
        <f t="shared" si="5"/>
        <v>25.065000000000001</v>
      </c>
      <c r="W61" s="131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5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1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5">
        <f t="shared" si="1"/>
        <v>6.8259385665527805E-3</v>
      </c>
    </row>
    <row r="63" spans="1:31" ht="15.75" thickBot="1" x14ac:dyDescent="0.3">
      <c r="A63" s="460" t="s">
        <v>195</v>
      </c>
      <c r="B63" s="461"/>
      <c r="C63" s="462">
        <f>SumByColor($A$19,C46:C61)</f>
        <v>0</v>
      </c>
      <c r="D63" s="462"/>
      <c r="E63" s="462"/>
      <c r="F63" s="463">
        <f>SumByColor($A$19,F46:F61)</f>
        <v>0</v>
      </c>
      <c r="G63" s="462"/>
      <c r="H63" s="462">
        <f>SumByColor($A$19,H46:H61)</f>
        <v>0</v>
      </c>
      <c r="I63" s="462"/>
      <c r="J63" s="462"/>
      <c r="K63" s="463">
        <f>SumByColor($A$19,K46:K61)</f>
        <v>0</v>
      </c>
      <c r="L63" s="462"/>
      <c r="M63" s="463">
        <f>SumByColor($A$19,M46:M61)</f>
        <v>0</v>
      </c>
      <c r="W63" s="131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5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1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5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1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5">
        <f t="shared" si="1"/>
        <v>-6.9324090121325455E-4</v>
      </c>
    </row>
    <row r="66" spans="2:31" x14ac:dyDescent="0.25">
      <c r="W66" s="131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5">
        <f t="shared" si="1"/>
        <v>1.0507880910683109E-2</v>
      </c>
    </row>
    <row r="67" spans="2:31" x14ac:dyDescent="0.25">
      <c r="W67" s="131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5" t="e">
        <f>AC67/#REF!-1</f>
        <v>#REF!</v>
      </c>
    </row>
    <row r="68" spans="2:31" x14ac:dyDescent="0.25">
      <c r="W68" s="131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5" t="e">
        <f>#REF!/AC70-1</f>
        <v>#REF!</v>
      </c>
    </row>
    <row r="69" spans="2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5" t="e">
        <f>AC70/AC71-1</f>
        <v>#DIV/0!</v>
      </c>
    </row>
    <row r="70" spans="2:31" x14ac:dyDescent="0.25">
      <c r="W70" s="131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70" priority="11">
      <formula>F33&gt;0</formula>
    </cfRule>
    <cfRule type="expression" dxfId="1269" priority="12">
      <formula>F33&lt;0</formula>
    </cfRule>
  </conditionalFormatting>
  <conditionalFormatting sqref="Q7">
    <cfRule type="expression" dxfId="1268" priority="9">
      <formula>Q7&gt;0</formula>
    </cfRule>
    <cfRule type="expression" dxfId="1267" priority="10">
      <formula>Q7&lt;0</formula>
    </cfRule>
  </conditionalFormatting>
  <conditionalFormatting sqref="Q8">
    <cfRule type="expression" dxfId="1266" priority="7">
      <formula>Q8&gt;0</formula>
    </cfRule>
    <cfRule type="expression" dxfId="1265" priority="8">
      <formula>Q8&lt;0</formula>
    </cfRule>
  </conditionalFormatting>
  <conditionalFormatting sqref="F25:F32">
    <cfRule type="expression" dxfId="1264" priority="5">
      <formula>F25&gt;0</formula>
    </cfRule>
    <cfRule type="expression" dxfId="1263" priority="6">
      <formula>F25&lt;0</formula>
    </cfRule>
  </conditionalFormatting>
  <conditionalFormatting sqref="H25:H32">
    <cfRule type="expression" dxfId="1262" priority="3">
      <formula>H25&gt;0</formula>
    </cfRule>
    <cfRule type="expression" dxfId="1261" priority="4">
      <formula>H25&lt;0</formula>
    </cfRule>
  </conditionalFormatting>
  <conditionalFormatting sqref="Q10">
    <cfRule type="expression" dxfId="1260" priority="1">
      <formula>Q10&gt;0</formula>
    </cfRule>
    <cfRule type="expression" dxfId="125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477</v>
      </c>
      <c r="X2" s="135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488">
        <f>IF(Q2=0, Q4, (F18-K18-M18)/Q2)</f>
        <v>18.43</v>
      </c>
      <c r="T3" s="594" t="s">
        <v>506</v>
      </c>
      <c r="X3" s="135"/>
    </row>
    <row r="4" spans="1:24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429">
        <v>18.43</v>
      </c>
      <c r="R4" s="497">
        <v>-3.6600000000000001E-2</v>
      </c>
      <c r="T4" s="160" t="s">
        <v>507</v>
      </c>
      <c r="U4" s="1"/>
      <c r="X4" s="135"/>
    </row>
    <row r="5" spans="1:24" x14ac:dyDescent="0.25">
      <c r="A5" s="1"/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508</v>
      </c>
      <c r="X5" s="135"/>
    </row>
    <row r="6" spans="1:24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X6" s="135"/>
    </row>
    <row r="7" spans="1:24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1283.4199999999946</v>
      </c>
      <c r="R7">
        <v>0</v>
      </c>
      <c r="X7" s="135"/>
    </row>
    <row r="8" spans="1:24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X8" s="135"/>
    </row>
    <row r="9" spans="1:24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X9" s="135"/>
    </row>
    <row r="10" spans="1:24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1283.4199999999946</v>
      </c>
      <c r="X10" s="135"/>
    </row>
    <row r="11" spans="1:24" x14ac:dyDescent="0.25">
      <c r="B11" s="73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v>0</v>
      </c>
      <c r="X11" s="135"/>
    </row>
    <row r="12" spans="1:24" x14ac:dyDescent="0.25">
      <c r="B12" s="73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X12" s="135"/>
    </row>
    <row r="13" spans="1:24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X13" s="135"/>
    </row>
    <row r="14" spans="1:24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X14" s="135"/>
    </row>
    <row r="15" spans="1:24" x14ac:dyDescent="0.25">
      <c r="H15" s="71"/>
      <c r="X15" s="135"/>
    </row>
    <row r="16" spans="1:24" x14ac:dyDescent="0.25">
      <c r="H16" s="71"/>
      <c r="X16" s="135"/>
    </row>
    <row r="17" spans="1:24" x14ac:dyDescent="0.25">
      <c r="X17" s="135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5"/>
    </row>
    <row r="19" spans="1:24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X19" s="135"/>
    </row>
    <row r="20" spans="1:24" x14ac:dyDescent="0.25">
      <c r="X20" s="135"/>
    </row>
    <row r="21" spans="1:24" x14ac:dyDescent="0.25">
      <c r="X21" s="135"/>
    </row>
    <row r="22" spans="1:24" x14ac:dyDescent="0.25">
      <c r="X22" s="135"/>
    </row>
    <row r="23" spans="1:24" x14ac:dyDescent="0.25">
      <c r="X23" s="135"/>
    </row>
    <row r="24" spans="1:24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X24" s="135"/>
    </row>
    <row r="25" spans="1:24" x14ac:dyDescent="0.25">
      <c r="A25" s="4"/>
      <c r="B25" s="190"/>
      <c r="C25" s="10"/>
      <c r="D25" s="197"/>
      <c r="E25" s="40"/>
      <c r="F25" s="40"/>
      <c r="G25" s="40"/>
      <c r="H25" s="228"/>
      <c r="I25" s="40"/>
      <c r="J25" s="40"/>
      <c r="K25" s="40"/>
      <c r="L25" s="4"/>
      <c r="X25" s="135"/>
    </row>
    <row r="26" spans="1:24" x14ac:dyDescent="0.25">
      <c r="A26" s="4"/>
      <c r="B26" s="190"/>
      <c r="C26" s="10"/>
      <c r="D26" s="197"/>
      <c r="E26" s="40"/>
      <c r="F26" s="40"/>
      <c r="G26" s="40"/>
      <c r="H26" s="228"/>
      <c r="I26" s="40"/>
      <c r="J26" s="40"/>
      <c r="K26" s="40"/>
      <c r="L26" s="4"/>
      <c r="X26" s="135"/>
    </row>
    <row r="27" spans="1:24" x14ac:dyDescent="0.25">
      <c r="A27" s="4"/>
      <c r="B27" s="190"/>
      <c r="C27" s="10"/>
      <c r="D27" s="197"/>
      <c r="E27" s="40"/>
      <c r="F27" s="40"/>
      <c r="G27" s="40"/>
      <c r="H27" s="228"/>
      <c r="I27" s="40"/>
      <c r="J27" s="40"/>
      <c r="K27" s="40"/>
      <c r="L27" s="4"/>
      <c r="X27" s="135"/>
    </row>
    <row r="28" spans="1:24" x14ac:dyDescent="0.25">
      <c r="A28" s="4"/>
      <c r="B28" s="190"/>
      <c r="C28" s="10"/>
      <c r="D28" s="197"/>
      <c r="E28" s="40"/>
      <c r="F28" s="40"/>
      <c r="G28" s="40"/>
      <c r="H28" s="228"/>
      <c r="I28" s="40"/>
      <c r="J28" s="40"/>
      <c r="K28" s="40"/>
      <c r="L28" s="4"/>
      <c r="X28" s="135"/>
    </row>
    <row r="29" spans="1:24" x14ac:dyDescent="0.25">
      <c r="A29" s="4"/>
      <c r="B29" s="190"/>
      <c r="C29" s="10"/>
      <c r="D29" s="197"/>
      <c r="E29" s="40"/>
      <c r="F29" s="40"/>
      <c r="G29" s="40"/>
      <c r="H29" s="228"/>
      <c r="I29" s="40"/>
      <c r="J29" s="40"/>
      <c r="K29" s="40"/>
      <c r="L29" s="4"/>
      <c r="X29" s="135"/>
    </row>
    <row r="30" spans="1:24" x14ac:dyDescent="0.25">
      <c r="A30" s="4"/>
      <c r="B30" s="190"/>
      <c r="C30" s="10"/>
      <c r="D30" s="197"/>
      <c r="E30" s="40"/>
      <c r="F30" s="40"/>
      <c r="G30" s="40"/>
      <c r="H30" s="228"/>
      <c r="I30" s="40"/>
      <c r="J30" s="40"/>
      <c r="K30" s="40"/>
      <c r="L30" s="4"/>
      <c r="X30" s="135"/>
    </row>
    <row r="31" spans="1:24" x14ac:dyDescent="0.25">
      <c r="A31" s="4"/>
      <c r="B31" s="190"/>
      <c r="C31" s="10"/>
      <c r="D31" s="197"/>
      <c r="E31" s="40"/>
      <c r="F31" s="40"/>
      <c r="G31" s="40"/>
      <c r="H31" s="228"/>
      <c r="I31" s="40"/>
      <c r="J31" s="40"/>
      <c r="K31" s="40"/>
      <c r="L31" s="4"/>
      <c r="X31" s="135"/>
    </row>
    <row r="32" spans="1:24" x14ac:dyDescent="0.25">
      <c r="A32" s="4"/>
      <c r="B32" s="190"/>
      <c r="C32" s="10"/>
      <c r="D32" s="197"/>
      <c r="E32" s="40"/>
      <c r="F32" s="40"/>
      <c r="G32" s="40"/>
      <c r="H32" s="228"/>
      <c r="I32" s="40"/>
      <c r="J32" s="40"/>
      <c r="K32" s="40"/>
      <c r="L32" s="4"/>
      <c r="X32" s="135"/>
    </row>
    <row r="33" spans="1:24" x14ac:dyDescent="0.25">
      <c r="A33" s="4"/>
      <c r="B33" s="190"/>
      <c r="C33" s="10"/>
      <c r="D33" s="197"/>
      <c r="E33" s="40"/>
      <c r="F33" s="40"/>
      <c r="G33" s="40"/>
      <c r="H33" s="228"/>
      <c r="I33" s="40"/>
      <c r="J33" s="40"/>
      <c r="K33" s="40"/>
      <c r="L33" s="4"/>
      <c r="X33" s="135"/>
    </row>
    <row r="34" spans="1:24" x14ac:dyDescent="0.25">
      <c r="A34" s="4"/>
      <c r="B34" s="190"/>
      <c r="C34" s="10"/>
      <c r="D34" s="197"/>
      <c r="E34" s="40"/>
      <c r="F34" s="40"/>
      <c r="G34" s="40"/>
      <c r="H34" s="228"/>
      <c r="I34" s="40"/>
      <c r="J34" s="40"/>
      <c r="K34" s="40"/>
      <c r="L34" s="4"/>
      <c r="X34" s="135"/>
    </row>
    <row r="35" spans="1:24" x14ac:dyDescent="0.25">
      <c r="A35" s="4"/>
      <c r="B35" s="190"/>
      <c r="C35" s="10"/>
      <c r="D35" s="197"/>
      <c r="E35" s="40"/>
      <c r="F35" s="40"/>
      <c r="G35" s="40"/>
      <c r="H35" s="228"/>
      <c r="I35" s="40"/>
      <c r="J35" s="40"/>
      <c r="K35" s="40"/>
      <c r="L35" s="4"/>
      <c r="X35" s="135"/>
    </row>
    <row r="36" spans="1:24" x14ac:dyDescent="0.25">
      <c r="A36" s="4"/>
      <c r="B36" s="190"/>
      <c r="C36" s="10"/>
      <c r="D36" s="197"/>
      <c r="E36" s="40"/>
      <c r="F36" s="40"/>
      <c r="G36" s="40"/>
      <c r="H36" s="228"/>
      <c r="I36" s="40"/>
      <c r="J36" s="40"/>
      <c r="K36" s="40"/>
      <c r="L36" s="4"/>
      <c r="X36" s="135"/>
    </row>
    <row r="37" spans="1:24" x14ac:dyDescent="0.25">
      <c r="A37" s="4"/>
      <c r="B37" s="190"/>
      <c r="C37" s="10"/>
      <c r="D37" s="197"/>
      <c r="E37" s="40"/>
      <c r="F37" s="40"/>
      <c r="G37" s="40"/>
      <c r="H37" s="228"/>
      <c r="I37" s="40"/>
      <c r="J37" s="40"/>
      <c r="K37" s="40"/>
      <c r="L37" s="4"/>
      <c r="X37" s="135"/>
    </row>
    <row r="38" spans="1:24" x14ac:dyDescent="0.25">
      <c r="A38" s="4"/>
      <c r="B38" s="190"/>
      <c r="C38" s="10"/>
      <c r="D38" s="197"/>
      <c r="E38" s="40"/>
      <c r="F38" s="40"/>
      <c r="G38" s="40"/>
      <c r="H38" s="228"/>
      <c r="I38" s="40"/>
      <c r="J38" s="40"/>
      <c r="K38" s="40"/>
      <c r="L38" s="4"/>
      <c r="X38" s="135"/>
    </row>
    <row r="39" spans="1:24" x14ac:dyDescent="0.25">
      <c r="A39" s="4"/>
      <c r="B39" s="190"/>
      <c r="C39" s="10"/>
      <c r="D39" s="197"/>
      <c r="E39" s="40"/>
      <c r="F39" s="40"/>
      <c r="G39" s="40"/>
      <c r="H39" s="228"/>
      <c r="I39" s="40"/>
      <c r="J39" s="40"/>
      <c r="K39" s="40"/>
      <c r="L39" s="4"/>
      <c r="X39" s="135"/>
    </row>
    <row r="40" spans="1:24" ht="20.25" thickBot="1" x14ac:dyDescent="0.35">
      <c r="A40" s="4"/>
      <c r="B40" s="190"/>
      <c r="C40" s="10"/>
      <c r="D40" s="197"/>
      <c r="E40" s="40"/>
      <c r="F40" s="40"/>
      <c r="G40" s="40"/>
      <c r="H40" s="228"/>
      <c r="I40" s="40"/>
      <c r="J40" s="40"/>
      <c r="K40" s="40"/>
      <c r="L40" s="4"/>
      <c r="O40" s="716" t="s">
        <v>78</v>
      </c>
      <c r="P40" s="716"/>
      <c r="X40" s="135"/>
    </row>
    <row r="41" spans="1:24" ht="15.75" thickTop="1" x14ac:dyDescent="0.25">
      <c r="A41" s="4"/>
      <c r="B41" s="190"/>
      <c r="C41" s="10"/>
      <c r="D41" s="197"/>
      <c r="E41" s="40"/>
      <c r="F41" s="40"/>
      <c r="G41" s="40"/>
      <c r="H41" s="228"/>
      <c r="I41" s="40"/>
      <c r="J41" s="40"/>
      <c r="K41" s="40"/>
      <c r="L41" s="4"/>
      <c r="O41" s="82">
        <v>1.1000000000000001</v>
      </c>
      <c r="P41" s="82">
        <f>O41*$Q$4</f>
        <v>20.273</v>
      </c>
      <c r="Q41" s="2"/>
      <c r="X41" s="135"/>
    </row>
    <row r="42" spans="1:24" x14ac:dyDescent="0.25">
      <c r="A42" s="4"/>
      <c r="B42" s="190"/>
      <c r="C42" s="10"/>
      <c r="D42" s="197"/>
      <c r="E42" s="40"/>
      <c r="F42" s="40"/>
      <c r="G42" s="40"/>
      <c r="H42" s="228"/>
      <c r="I42" s="40"/>
      <c r="J42" s="40"/>
      <c r="K42" s="40"/>
      <c r="L42" s="4"/>
      <c r="O42" s="82">
        <v>1.0900000000000001</v>
      </c>
      <c r="P42" s="82">
        <f t="shared" ref="P42:P61" si="0">O42*$Q$4</f>
        <v>20.088700000000003</v>
      </c>
      <c r="Q42" s="2"/>
      <c r="X42" s="135"/>
    </row>
    <row r="43" spans="1:24" x14ac:dyDescent="0.25">
      <c r="A43" s="4"/>
      <c r="B43" s="190"/>
      <c r="C43" s="10"/>
      <c r="D43" s="197"/>
      <c r="E43" s="40"/>
      <c r="F43" s="40"/>
      <c r="G43" s="40"/>
      <c r="H43" s="228"/>
      <c r="I43" s="40"/>
      <c r="J43" s="40"/>
      <c r="K43" s="40"/>
      <c r="L43" s="4"/>
      <c r="O43" s="82">
        <v>1.08</v>
      </c>
      <c r="P43" s="82">
        <f t="shared" si="0"/>
        <v>19.904400000000003</v>
      </c>
      <c r="Q43" s="2"/>
      <c r="X43" s="135"/>
    </row>
    <row r="44" spans="1:24" x14ac:dyDescent="0.25">
      <c r="A44" s="4"/>
      <c r="B44" s="190"/>
      <c r="C44" s="10"/>
      <c r="D44" s="197"/>
      <c r="E44" s="40"/>
      <c r="F44" s="40"/>
      <c r="G44" s="40"/>
      <c r="H44" s="228"/>
      <c r="I44" s="40"/>
      <c r="J44" s="40"/>
      <c r="K44" s="40"/>
      <c r="L44" s="4"/>
      <c r="O44" s="82">
        <v>1.07</v>
      </c>
      <c r="P44" s="82">
        <f t="shared" si="0"/>
        <v>19.720100000000002</v>
      </c>
      <c r="Q44" s="2"/>
      <c r="X44" s="135"/>
    </row>
    <row r="45" spans="1:24" x14ac:dyDescent="0.25">
      <c r="A45" s="4"/>
      <c r="B45" s="190"/>
      <c r="C45" s="10"/>
      <c r="D45" s="197"/>
      <c r="E45" s="40"/>
      <c r="F45" s="40"/>
      <c r="G45" s="40"/>
      <c r="H45" s="228"/>
      <c r="I45" s="40"/>
      <c r="J45" s="40"/>
      <c r="K45" s="40"/>
      <c r="L45" s="4"/>
      <c r="O45" s="82">
        <v>1.06</v>
      </c>
      <c r="P45" s="82">
        <f t="shared" si="0"/>
        <v>19.535800000000002</v>
      </c>
      <c r="Q45" s="2"/>
      <c r="X45" s="135"/>
    </row>
    <row r="46" spans="1:24" x14ac:dyDescent="0.25">
      <c r="A46" s="4"/>
      <c r="B46" s="190"/>
      <c r="C46" s="10"/>
      <c r="D46" s="197"/>
      <c r="E46" s="40"/>
      <c r="F46" s="40"/>
      <c r="G46" s="40"/>
      <c r="H46" s="228"/>
      <c r="I46" s="40"/>
      <c r="J46" s="40"/>
      <c r="K46" s="40"/>
      <c r="L46" s="4"/>
      <c r="O46" s="82">
        <v>1.05</v>
      </c>
      <c r="P46" s="82">
        <f t="shared" si="0"/>
        <v>19.351500000000001</v>
      </c>
      <c r="Q46" s="2"/>
      <c r="X46" s="135"/>
    </row>
    <row r="47" spans="1:24" x14ac:dyDescent="0.25">
      <c r="A47" s="4"/>
      <c r="B47" s="190"/>
      <c r="C47" s="10"/>
      <c r="D47" s="197"/>
      <c r="E47" s="40"/>
      <c r="F47" s="40"/>
      <c r="G47" s="40"/>
      <c r="H47" s="228"/>
      <c r="I47" s="40"/>
      <c r="J47" s="40"/>
      <c r="K47" s="40"/>
      <c r="L47" s="4"/>
      <c r="O47" s="82">
        <v>1.04</v>
      </c>
      <c r="P47" s="82">
        <f>O47*$Q$4</f>
        <v>19.167200000000001</v>
      </c>
      <c r="Q47" s="2"/>
      <c r="S47" t="s">
        <v>514</v>
      </c>
      <c r="T47" s="594" t="s">
        <v>506</v>
      </c>
      <c r="X47" s="135"/>
    </row>
    <row r="48" spans="1:24" x14ac:dyDescent="0.25">
      <c r="A48" s="4"/>
      <c r="B48" s="190"/>
      <c r="C48" s="10"/>
      <c r="D48" s="197"/>
      <c r="E48" s="40"/>
      <c r="F48" s="40"/>
      <c r="G48" s="40"/>
      <c r="H48" s="228"/>
      <c r="I48" s="40"/>
      <c r="J48" s="40"/>
      <c r="K48" s="40"/>
      <c r="L48" s="4"/>
      <c r="O48" s="82">
        <v>1.03</v>
      </c>
      <c r="P48" s="82">
        <f t="shared" si="0"/>
        <v>18.982900000000001</v>
      </c>
      <c r="Q48" s="2"/>
      <c r="S48" t="s">
        <v>518</v>
      </c>
      <c r="T48" s="23" t="s">
        <v>517</v>
      </c>
      <c r="X48" s="135"/>
    </row>
    <row r="49" spans="1:24" x14ac:dyDescent="0.25">
      <c r="A49" s="4"/>
      <c r="B49" s="190"/>
      <c r="C49" s="10"/>
      <c r="D49" s="197"/>
      <c r="E49" s="40"/>
      <c r="F49" s="40"/>
      <c r="G49" s="40"/>
      <c r="H49" s="228"/>
      <c r="I49" s="40"/>
      <c r="J49" s="40"/>
      <c r="K49" s="40"/>
      <c r="L49" s="4"/>
      <c r="O49" s="82">
        <v>1.02</v>
      </c>
      <c r="P49" s="82">
        <f t="shared" si="0"/>
        <v>18.7986</v>
      </c>
      <c r="Q49" s="2"/>
      <c r="S49" t="s">
        <v>519</v>
      </c>
      <c r="T49" s="23" t="s">
        <v>520</v>
      </c>
      <c r="X49" s="135"/>
    </row>
    <row r="50" spans="1:24" x14ac:dyDescent="0.25">
      <c r="A50" s="4"/>
      <c r="B50" s="190"/>
      <c r="C50" s="10"/>
      <c r="D50" s="197"/>
      <c r="E50" s="40"/>
      <c r="F50" s="40"/>
      <c r="G50" s="40"/>
      <c r="H50" s="228"/>
      <c r="I50" s="40"/>
      <c r="J50" s="40"/>
      <c r="K50" s="40"/>
      <c r="L50" s="4"/>
      <c r="O50" s="82">
        <v>1.01</v>
      </c>
      <c r="P50" s="82">
        <f t="shared" si="0"/>
        <v>18.6143</v>
      </c>
      <c r="Q50" s="2"/>
      <c r="S50" t="s">
        <v>521</v>
      </c>
      <c r="T50" s="23" t="s">
        <v>522</v>
      </c>
      <c r="X50" s="135"/>
    </row>
    <row r="51" spans="1:24" x14ac:dyDescent="0.25">
      <c r="A51" s="4"/>
      <c r="B51" s="190"/>
      <c r="C51" s="10"/>
      <c r="D51" s="40"/>
      <c r="E51" s="40"/>
      <c r="F51" s="40"/>
      <c r="G51" s="40"/>
      <c r="H51" s="228"/>
      <c r="I51" s="40"/>
      <c r="J51" s="40"/>
      <c r="K51" s="40"/>
      <c r="L51" s="4"/>
      <c r="O51" s="82">
        <v>1</v>
      </c>
      <c r="P51" s="82">
        <f t="shared" si="0"/>
        <v>18.43</v>
      </c>
      <c r="Q51" s="2"/>
      <c r="X51" s="135"/>
    </row>
    <row r="52" spans="1:24" x14ac:dyDescent="0.25">
      <c r="B52" s="190"/>
      <c r="C52" s="10"/>
      <c r="D52" s="40"/>
      <c r="E52" s="40"/>
      <c r="F52" s="40"/>
      <c r="G52" s="40"/>
      <c r="H52" s="228"/>
      <c r="I52" s="40"/>
      <c r="J52" s="40"/>
      <c r="K52" s="40"/>
      <c r="O52" s="82">
        <v>0.99</v>
      </c>
      <c r="P52" s="82">
        <f t="shared" si="0"/>
        <v>18.245699999999999</v>
      </c>
      <c r="Q52" s="2"/>
      <c r="X52" s="135"/>
    </row>
    <row r="53" spans="1:24" x14ac:dyDescent="0.25">
      <c r="B53" s="190"/>
      <c r="C53" s="10"/>
      <c r="D53" s="40"/>
      <c r="E53" s="40"/>
      <c r="F53" s="40"/>
      <c r="G53" s="40"/>
      <c r="H53" s="228"/>
      <c r="I53" s="40"/>
      <c r="J53" s="40"/>
      <c r="K53" s="40"/>
      <c r="O53" s="82">
        <v>0.98</v>
      </c>
      <c r="P53" s="82">
        <f t="shared" si="0"/>
        <v>18.061399999999999</v>
      </c>
      <c r="Q53" s="2"/>
      <c r="S53" t="s">
        <v>525</v>
      </c>
      <c r="T53" s="23" t="s">
        <v>515</v>
      </c>
      <c r="X53" s="135"/>
    </row>
    <row r="54" spans="1:24" x14ac:dyDescent="0.25">
      <c r="B54" s="190"/>
      <c r="C54" s="10"/>
      <c r="D54" s="40"/>
      <c r="E54" s="40"/>
      <c r="F54" s="40"/>
      <c r="G54" s="40"/>
      <c r="H54" s="228"/>
      <c r="I54" s="40"/>
      <c r="J54" s="40"/>
      <c r="K54" s="40"/>
      <c r="O54" s="82">
        <v>0.97</v>
      </c>
      <c r="P54" s="82">
        <f t="shared" si="0"/>
        <v>17.877099999999999</v>
      </c>
      <c r="S54" t="s">
        <v>524</v>
      </c>
      <c r="T54" s="23" t="s">
        <v>516</v>
      </c>
      <c r="X54" s="135"/>
    </row>
    <row r="55" spans="1:24" x14ac:dyDescent="0.25">
      <c r="B55" s="190"/>
      <c r="C55" s="10"/>
      <c r="D55" s="40"/>
      <c r="E55" s="40"/>
      <c r="F55" s="40"/>
      <c r="G55" s="40"/>
      <c r="H55" s="228"/>
      <c r="I55" s="40"/>
      <c r="J55" s="40"/>
      <c r="K55" s="40"/>
      <c r="O55" s="82">
        <v>0.96</v>
      </c>
      <c r="P55" s="82">
        <f t="shared" si="0"/>
        <v>17.692799999999998</v>
      </c>
      <c r="S55" t="s">
        <v>523</v>
      </c>
      <c r="T55" s="23" t="s">
        <v>526</v>
      </c>
      <c r="X55" s="135"/>
    </row>
    <row r="56" spans="1:24" x14ac:dyDescent="0.25">
      <c r="B56" s="190"/>
      <c r="C56" s="10"/>
      <c r="D56" s="40"/>
      <c r="E56" s="40"/>
      <c r="F56" s="40"/>
      <c r="G56" s="40"/>
      <c r="H56" s="228"/>
      <c r="I56" s="40"/>
      <c r="J56" s="40"/>
      <c r="K56" s="40"/>
      <c r="O56" s="82">
        <v>0.95</v>
      </c>
      <c r="P56" s="82">
        <f t="shared" si="0"/>
        <v>17.508499999999998</v>
      </c>
      <c r="X56" s="135"/>
    </row>
    <row r="57" spans="1:24" x14ac:dyDescent="0.25">
      <c r="B57" s="190"/>
      <c r="C57" s="10"/>
      <c r="D57" s="40"/>
      <c r="E57" s="40"/>
      <c r="F57" s="40"/>
      <c r="G57" s="40"/>
      <c r="H57" s="228"/>
      <c r="I57" s="40"/>
      <c r="J57" s="40"/>
      <c r="K57" s="40"/>
      <c r="O57" s="82">
        <v>0.94</v>
      </c>
      <c r="P57" s="82">
        <f t="shared" si="0"/>
        <v>17.324199999999998</v>
      </c>
      <c r="X57" s="135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17.139900000000001</v>
      </c>
      <c r="X58" s="135"/>
    </row>
    <row r="59" spans="1:24" x14ac:dyDescent="0.25">
      <c r="A59" s="536" t="s">
        <v>1</v>
      </c>
      <c r="B59" s="536" t="s">
        <v>2</v>
      </c>
      <c r="C59" s="536" t="s">
        <v>4</v>
      </c>
      <c r="D59" s="537" t="s">
        <v>5</v>
      </c>
      <c r="E59" s="537" t="s">
        <v>94</v>
      </c>
      <c r="F59" s="537" t="s">
        <v>60</v>
      </c>
      <c r="G59" s="536" t="s">
        <v>3</v>
      </c>
      <c r="H59" s="536" t="s">
        <v>6</v>
      </c>
      <c r="I59" s="537" t="s">
        <v>7</v>
      </c>
      <c r="J59" s="537" t="s">
        <v>95</v>
      </c>
      <c r="K59" s="537" t="s">
        <v>61</v>
      </c>
      <c r="L59" s="536" t="s">
        <v>37</v>
      </c>
      <c r="M59" s="536" t="s">
        <v>38</v>
      </c>
      <c r="O59" s="82">
        <v>0.92</v>
      </c>
      <c r="P59" s="82">
        <f t="shared" si="0"/>
        <v>16.9556</v>
      </c>
      <c r="X59" s="135"/>
    </row>
    <row r="60" spans="1:24" x14ac:dyDescent="0.25">
      <c r="A60" s="538" t="s">
        <v>291</v>
      </c>
      <c r="B60" s="520">
        <v>42639</v>
      </c>
      <c r="C60" s="521">
        <v>80</v>
      </c>
      <c r="D60" s="523">
        <v>26.38</v>
      </c>
      <c r="E60" s="523">
        <v>0</v>
      </c>
      <c r="F60" s="523">
        <f>C60*D60+E60</f>
        <v>2110.4</v>
      </c>
      <c r="G60" s="520">
        <v>42677</v>
      </c>
      <c r="H60" s="539">
        <v>100</v>
      </c>
      <c r="I60" s="523">
        <v>26.49</v>
      </c>
      <c r="J60" s="523">
        <v>0.56000000000000005</v>
      </c>
      <c r="K60" s="523">
        <f>I60*H60-J60</f>
        <v>2648.44</v>
      </c>
      <c r="L60" s="520"/>
      <c r="M60" s="523"/>
      <c r="O60" s="82">
        <v>0.91</v>
      </c>
      <c r="P60" s="82">
        <f t="shared" si="0"/>
        <v>16.7713</v>
      </c>
      <c r="X60" s="135"/>
    </row>
    <row r="61" spans="1:24" x14ac:dyDescent="0.25">
      <c r="A61" s="540" t="s">
        <v>71</v>
      </c>
      <c r="B61" s="520">
        <v>42639</v>
      </c>
      <c r="C61" s="521">
        <v>20</v>
      </c>
      <c r="D61" s="523">
        <v>25.48</v>
      </c>
      <c r="E61" s="523">
        <v>0</v>
      </c>
      <c r="F61" s="523">
        <f>C61*D61+E61</f>
        <v>509.6</v>
      </c>
      <c r="G61" s="520">
        <v>42678</v>
      </c>
      <c r="H61" s="539">
        <v>20</v>
      </c>
      <c r="I61" s="523">
        <v>27.31</v>
      </c>
      <c r="J61" s="523">
        <v>0.01</v>
      </c>
      <c r="K61" s="523">
        <f>I61*H61-J61</f>
        <v>546.18999999999994</v>
      </c>
      <c r="L61" s="521"/>
      <c r="M61" s="521"/>
      <c r="O61" s="82">
        <v>0.9</v>
      </c>
      <c r="P61" s="82">
        <f t="shared" si="0"/>
        <v>16.587</v>
      </c>
      <c r="X61" s="135"/>
    </row>
    <row r="62" spans="1:24" x14ac:dyDescent="0.25">
      <c r="A62" s="521"/>
      <c r="B62" s="520">
        <v>42639</v>
      </c>
      <c r="C62" s="521">
        <v>20</v>
      </c>
      <c r="D62" s="523">
        <v>25.48</v>
      </c>
      <c r="E62" s="523">
        <v>0</v>
      </c>
      <c r="F62" s="523">
        <f>C62*D62+E62</f>
        <v>509.6</v>
      </c>
      <c r="G62" s="520">
        <v>42681</v>
      </c>
      <c r="H62" s="539">
        <v>80</v>
      </c>
      <c r="I62" s="523">
        <v>28.17</v>
      </c>
      <c r="J62" s="523">
        <v>0.05</v>
      </c>
      <c r="K62" s="523">
        <f>I62*H62-J62</f>
        <v>2253.5500000000002</v>
      </c>
      <c r="L62" s="521"/>
      <c r="M62" s="521"/>
      <c r="X62" s="135"/>
    </row>
    <row r="63" spans="1:24" x14ac:dyDescent="0.25">
      <c r="A63" s="521"/>
      <c r="B63" s="520">
        <v>42649</v>
      </c>
      <c r="C63" s="521">
        <v>80</v>
      </c>
      <c r="D63" s="523">
        <v>24.67</v>
      </c>
      <c r="E63" s="523">
        <v>0</v>
      </c>
      <c r="F63" s="523">
        <f>C63*D63+E63</f>
        <v>1973.6000000000001</v>
      </c>
      <c r="G63" s="521"/>
      <c r="H63" s="539"/>
      <c r="I63" s="523"/>
      <c r="J63" s="523"/>
      <c r="K63" s="523"/>
      <c r="L63" s="521"/>
      <c r="M63" s="521"/>
      <c r="X63" s="135"/>
    </row>
    <row r="64" spans="1:24" x14ac:dyDescent="0.25">
      <c r="A64" s="521"/>
      <c r="B64" s="452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2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5"/>
    </row>
    <row r="65" spans="1:24" x14ac:dyDescent="0.25">
      <c r="A65" s="521"/>
      <c r="B65" s="452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2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5"/>
    </row>
    <row r="66" spans="1:24" x14ac:dyDescent="0.25">
      <c r="A66" s="521"/>
      <c r="B66" s="452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2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5"/>
    </row>
    <row r="67" spans="1:24" x14ac:dyDescent="0.25">
      <c r="A67" s="521"/>
      <c r="B67" s="452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2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5"/>
    </row>
    <row r="68" spans="1:24" x14ac:dyDescent="0.25">
      <c r="A68" s="521"/>
      <c r="B68" s="452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2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5"/>
    </row>
    <row r="69" spans="1:24" x14ac:dyDescent="0.25">
      <c r="A69" s="521"/>
      <c r="B69" s="452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2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5"/>
    </row>
    <row r="70" spans="1:24" x14ac:dyDescent="0.25">
      <c r="A70" s="521"/>
      <c r="B70" s="452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2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1"/>
      <c r="B71" s="452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2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1"/>
      <c r="B72" s="452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2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1"/>
      <c r="B73" s="452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1"/>
      <c r="B74" s="452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1"/>
      <c r="H75" s="71"/>
    </row>
    <row r="76" spans="1:24" x14ac:dyDescent="0.25">
      <c r="A76" s="541" t="s">
        <v>81</v>
      </c>
      <c r="B76" s="542"/>
      <c r="C76" s="542">
        <f>SUM(C60:C75)</f>
        <v>1400</v>
      </c>
      <c r="D76" s="543"/>
      <c r="E76" s="543"/>
      <c r="F76" s="543">
        <f>SUM(F60:F75)</f>
        <v>29502.2</v>
      </c>
      <c r="G76" s="542"/>
      <c r="H76" s="565">
        <f>SUM(H60:H75)</f>
        <v>1400</v>
      </c>
      <c r="I76" s="543"/>
      <c r="J76" s="543"/>
      <c r="K76" s="543">
        <f>SUM(K60:K75)</f>
        <v>30785.619999999995</v>
      </c>
      <c r="L76" s="542"/>
      <c r="M76" s="543">
        <f>SUM(M60:M68)</f>
        <v>0</v>
      </c>
    </row>
    <row r="77" spans="1:24" ht="15.75" thickBot="1" x14ac:dyDescent="0.3">
      <c r="A77" s="544" t="s">
        <v>195</v>
      </c>
      <c r="B77" s="545"/>
      <c r="C77" s="546">
        <f>SumByColor($A$19,C60:C75)</f>
        <v>1200</v>
      </c>
      <c r="D77" s="546"/>
      <c r="E77" s="546"/>
      <c r="F77" s="547">
        <f>SumByColor($A$19,F60:F75)</f>
        <v>24399</v>
      </c>
      <c r="G77" s="546"/>
      <c r="H77" s="546">
        <f>SumByColor($A$19,H60:H75)</f>
        <v>1200</v>
      </c>
      <c r="I77" s="546"/>
      <c r="J77" s="546"/>
      <c r="K77" s="547">
        <f>SumByColor($A$19,K60:K75)</f>
        <v>25337</v>
      </c>
      <c r="L77" s="546"/>
      <c r="M77" s="547">
        <f>SumByColor($A$19,M60:M75)</f>
        <v>0</v>
      </c>
    </row>
    <row r="82" spans="2:11" x14ac:dyDescent="0.25">
      <c r="B82" s="188" t="s">
        <v>113</v>
      </c>
      <c r="C82" s="188" t="s">
        <v>146</v>
      </c>
      <c r="D82" s="189" t="s">
        <v>145</v>
      </c>
      <c r="E82" s="191" t="s">
        <v>147</v>
      </c>
      <c r="F82" s="191" t="s">
        <v>65</v>
      </c>
      <c r="G82" s="226" t="s">
        <v>151</v>
      </c>
      <c r="H82" s="226" t="s">
        <v>88</v>
      </c>
      <c r="I82" s="226" t="s">
        <v>154</v>
      </c>
    </row>
    <row r="83" spans="2:11" x14ac:dyDescent="0.25">
      <c r="B83" s="375">
        <v>42639</v>
      </c>
      <c r="C83" s="376">
        <v>80</v>
      </c>
      <c r="D83" s="377">
        <v>26.38</v>
      </c>
      <c r="E83" s="377">
        <v>25.53</v>
      </c>
      <c r="F83" s="377">
        <f t="shared" ref="F83:F92" si="3">C83*(E83-D83)</f>
        <v>-67.999999999999829</v>
      </c>
      <c r="G83" s="377">
        <f t="shared" ref="G83:G92" si="4">D83*C83</f>
        <v>2110.4</v>
      </c>
      <c r="H83" s="378">
        <f t="shared" ref="H83:H92" si="5">(E83-D83)/D83</f>
        <v>-3.2221379833206894E-2</v>
      </c>
      <c r="I83" s="377"/>
    </row>
    <row r="84" spans="2:11" x14ac:dyDescent="0.25">
      <c r="B84" s="375">
        <v>42639</v>
      </c>
      <c r="C84" s="376">
        <v>120</v>
      </c>
      <c r="D84" s="377">
        <v>26.08</v>
      </c>
      <c r="E84" s="377">
        <v>25.53</v>
      </c>
      <c r="F84" s="377">
        <f t="shared" si="3"/>
        <v>-65.999999999999659</v>
      </c>
      <c r="G84" s="377">
        <f t="shared" si="4"/>
        <v>3129.6</v>
      </c>
      <c r="H84" s="378">
        <f t="shared" si="5"/>
        <v>-2.1088957055214616E-2</v>
      </c>
      <c r="I84" s="377"/>
    </row>
    <row r="85" spans="2:11" x14ac:dyDescent="0.25">
      <c r="B85" s="375">
        <v>42641</v>
      </c>
      <c r="C85" s="376">
        <v>120</v>
      </c>
      <c r="D85" s="377">
        <v>26.08</v>
      </c>
      <c r="E85" s="377">
        <v>26</v>
      </c>
      <c r="F85" s="377">
        <f t="shared" si="3"/>
        <v>-9.5999999999997954</v>
      </c>
      <c r="G85" s="377">
        <f t="shared" si="4"/>
        <v>3129.6</v>
      </c>
      <c r="H85" s="378">
        <f t="shared" si="5"/>
        <v>-3.0674846625766221E-3</v>
      </c>
      <c r="I85" s="377"/>
    </row>
    <row r="86" spans="2:11" x14ac:dyDescent="0.25">
      <c r="B86" s="375">
        <v>42643</v>
      </c>
      <c r="C86" s="376">
        <v>120</v>
      </c>
      <c r="D86" s="377">
        <v>26.08</v>
      </c>
      <c r="E86" s="377">
        <v>26.59</v>
      </c>
      <c r="F86" s="377">
        <f t="shared" si="3"/>
        <v>61.200000000000188</v>
      </c>
      <c r="G86" s="377">
        <f t="shared" si="4"/>
        <v>3129.6</v>
      </c>
      <c r="H86" s="378">
        <f t="shared" si="5"/>
        <v>1.9555214723926441E-2</v>
      </c>
      <c r="I86" s="377"/>
    </row>
    <row r="87" spans="2:11" x14ac:dyDescent="0.25">
      <c r="B87" s="375">
        <v>42649</v>
      </c>
      <c r="C87" s="376">
        <v>200</v>
      </c>
      <c r="D87" s="377">
        <v>25.515999999999998</v>
      </c>
      <c r="E87" s="377">
        <v>25.21</v>
      </c>
      <c r="F87" s="377">
        <f t="shared" si="3"/>
        <v>-61.199999999999477</v>
      </c>
      <c r="G87" s="377">
        <f t="shared" si="4"/>
        <v>5103.2</v>
      </c>
      <c r="H87" s="378">
        <f t="shared" si="5"/>
        <v>-1.1992475309609556E-2</v>
      </c>
      <c r="I87" s="377"/>
    </row>
    <row r="88" spans="2:11" x14ac:dyDescent="0.25">
      <c r="B88" s="375">
        <v>42650</v>
      </c>
      <c r="C88" s="376">
        <v>200</v>
      </c>
      <c r="D88" s="377">
        <v>25.515999999999998</v>
      </c>
      <c r="E88" s="377">
        <v>25.33</v>
      </c>
      <c r="F88" s="377">
        <f t="shared" si="3"/>
        <v>-37.199999999999989</v>
      </c>
      <c r="G88" s="377">
        <f t="shared" si="4"/>
        <v>5103.2</v>
      </c>
      <c r="H88" s="378">
        <f t="shared" si="5"/>
        <v>-7.2895438156450835E-3</v>
      </c>
      <c r="I88" s="377"/>
    </row>
    <row r="89" spans="2:11" x14ac:dyDescent="0.25">
      <c r="B89" s="375">
        <v>42661</v>
      </c>
      <c r="C89" s="376">
        <v>200</v>
      </c>
      <c r="D89" s="377">
        <v>25.515999999999998</v>
      </c>
      <c r="E89" s="377">
        <v>26.25</v>
      </c>
      <c r="F89" s="377">
        <f t="shared" si="3"/>
        <v>146.80000000000035</v>
      </c>
      <c r="G89" s="377">
        <f t="shared" si="4"/>
        <v>5103.2</v>
      </c>
      <c r="H89" s="378">
        <f t="shared" si="5"/>
        <v>2.876626430475003E-2</v>
      </c>
      <c r="I89" s="377"/>
    </row>
    <row r="90" spans="2:11" x14ac:dyDescent="0.25">
      <c r="B90" s="375">
        <v>42674</v>
      </c>
      <c r="C90" s="376">
        <v>200</v>
      </c>
      <c r="D90" s="377">
        <v>25.515999999999998</v>
      </c>
      <c r="E90" s="377">
        <v>26.42</v>
      </c>
      <c r="F90" s="377">
        <f t="shared" si="3"/>
        <v>180.80000000000069</v>
      </c>
      <c r="G90" s="377">
        <f t="shared" si="4"/>
        <v>5103.2</v>
      </c>
      <c r="H90" s="378">
        <f t="shared" si="5"/>
        <v>3.5428750587866577E-2</v>
      </c>
      <c r="I90" s="377"/>
    </row>
    <row r="91" spans="2:11" x14ac:dyDescent="0.25">
      <c r="B91" s="375">
        <v>42677</v>
      </c>
      <c r="C91" s="376">
        <v>100</v>
      </c>
      <c r="D91" s="377">
        <v>24.547599999999999</v>
      </c>
      <c r="E91" s="377">
        <v>26.69</v>
      </c>
      <c r="F91" s="377">
        <f t="shared" si="3"/>
        <v>214.24000000000021</v>
      </c>
      <c r="G91" s="377">
        <f t="shared" si="4"/>
        <v>2454.7599999999998</v>
      </c>
      <c r="H91" s="378">
        <f t="shared" si="5"/>
        <v>8.7275334452247971E-2</v>
      </c>
      <c r="I91" s="464"/>
    </row>
    <row r="92" spans="2:11" x14ac:dyDescent="0.25">
      <c r="B92" s="375">
        <v>42678</v>
      </c>
      <c r="C92" s="376">
        <v>80</v>
      </c>
      <c r="D92" s="377">
        <v>23.857099999999999</v>
      </c>
      <c r="E92" s="377">
        <v>27.24</v>
      </c>
      <c r="F92" s="377">
        <f t="shared" si="3"/>
        <v>270.63199999999995</v>
      </c>
      <c r="G92" s="377">
        <f t="shared" si="4"/>
        <v>1908.568</v>
      </c>
      <c r="H92" s="378">
        <f t="shared" si="5"/>
        <v>0.1417984583205838</v>
      </c>
      <c r="I92" s="377"/>
    </row>
    <row r="93" spans="2:11" x14ac:dyDescent="0.25">
      <c r="B93" s="375">
        <v>42681</v>
      </c>
      <c r="C93" s="376">
        <v>0</v>
      </c>
      <c r="D93" s="377"/>
      <c r="E93" s="377"/>
      <c r="F93" s="377">
        <v>344.98</v>
      </c>
      <c r="G93" s="377"/>
      <c r="H93" s="378"/>
      <c r="I93" s="377"/>
    </row>
    <row r="94" spans="2:11" x14ac:dyDescent="0.25">
      <c r="B94" s="375"/>
      <c r="C94" s="376"/>
      <c r="D94" s="377"/>
      <c r="E94" s="377"/>
      <c r="F94" s="377"/>
      <c r="G94" s="377"/>
      <c r="H94" s="378"/>
      <c r="I94" s="377"/>
    </row>
    <row r="95" spans="2:11" x14ac:dyDescent="0.25">
      <c r="B95" s="188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  <c r="J95" s="226" t="s">
        <v>150</v>
      </c>
      <c r="K95" s="226" t="s">
        <v>740</v>
      </c>
    </row>
    <row r="96" spans="2:11" x14ac:dyDescent="0.25">
      <c r="B96" s="190">
        <v>42701</v>
      </c>
      <c r="C96" s="10">
        <v>200</v>
      </c>
      <c r="D96" s="197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8">
        <f t="shared" ref="H96:H120" si="8">(E96-D96)/D96</f>
        <v>8.7174806024646292E-2</v>
      </c>
      <c r="I96" s="40"/>
      <c r="J96" s="40"/>
      <c r="K96" s="40"/>
    </row>
    <row r="97" spans="1:11" x14ac:dyDescent="0.25">
      <c r="B97" s="190">
        <v>42706</v>
      </c>
      <c r="C97" s="10">
        <v>300</v>
      </c>
      <c r="D97" s="197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8">
        <f t="shared" si="8"/>
        <v>-2.5404157043879778E-2</v>
      </c>
      <c r="I97" s="40"/>
      <c r="J97" s="40"/>
      <c r="K97" s="40"/>
    </row>
    <row r="98" spans="1:11" x14ac:dyDescent="0.25">
      <c r="B98" s="190">
        <v>42724</v>
      </c>
      <c r="C98" s="10">
        <v>200</v>
      </c>
      <c r="D98" s="197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8">
        <f t="shared" si="8"/>
        <v>2.2906021091037725E-2</v>
      </c>
      <c r="I98" s="40"/>
      <c r="J98" s="40"/>
      <c r="K98" s="40"/>
    </row>
    <row r="99" spans="1:11" x14ac:dyDescent="0.25">
      <c r="B99" s="190">
        <v>42732</v>
      </c>
      <c r="C99" s="10">
        <v>300</v>
      </c>
      <c r="D99" s="197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8">
        <f t="shared" si="8"/>
        <v>1.0063152371493373E-2</v>
      </c>
      <c r="I99" s="40"/>
      <c r="J99" s="40"/>
      <c r="K99" s="40"/>
    </row>
    <row r="100" spans="1:11" x14ac:dyDescent="0.25">
      <c r="B100" s="190">
        <v>42739</v>
      </c>
      <c r="C100" s="10">
        <v>300</v>
      </c>
      <c r="D100" s="197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8">
        <f t="shared" si="8"/>
        <v>-2.0857148211307453E-2</v>
      </c>
      <c r="I100" s="40"/>
      <c r="J100" s="40"/>
      <c r="K100" s="40"/>
    </row>
    <row r="101" spans="1:11" x14ac:dyDescent="0.25">
      <c r="B101" s="190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8">
        <f t="shared" si="8"/>
        <v>-3.5848809099938164E-2</v>
      </c>
      <c r="I101" s="40"/>
      <c r="J101" s="40"/>
      <c r="K101" s="40"/>
    </row>
    <row r="102" spans="1:11" x14ac:dyDescent="0.25">
      <c r="B102" s="190">
        <v>42746</v>
      </c>
      <c r="C102" s="10">
        <v>400</v>
      </c>
      <c r="D102" s="197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8">
        <f t="shared" si="8"/>
        <v>-3.5332204800255382E-2</v>
      </c>
      <c r="I102" s="40"/>
      <c r="J102" s="40"/>
      <c r="K102" s="40"/>
    </row>
    <row r="103" spans="1:11" x14ac:dyDescent="0.25">
      <c r="A103" t="s">
        <v>355</v>
      </c>
      <c r="B103" s="190">
        <v>42754</v>
      </c>
      <c r="C103" s="579">
        <v>600</v>
      </c>
      <c r="D103" s="606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8">
        <f t="shared" si="8"/>
        <v>-2.4206047610653314E-2</v>
      </c>
      <c r="I103" s="40" t="s">
        <v>348</v>
      </c>
      <c r="J103" s="40"/>
      <c r="K103" s="40"/>
    </row>
    <row r="104" spans="1:11" x14ac:dyDescent="0.25">
      <c r="A104" t="s">
        <v>355</v>
      </c>
      <c r="B104" s="190">
        <v>42760</v>
      </c>
      <c r="C104" s="10">
        <v>600</v>
      </c>
      <c r="D104" s="197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8">
        <f t="shared" si="8"/>
        <v>6.1370022415326402E-3</v>
      </c>
      <c r="I104" s="40"/>
      <c r="J104" s="40"/>
      <c r="K104" s="40"/>
    </row>
    <row r="105" spans="1:11" x14ac:dyDescent="0.25">
      <c r="A105" t="s">
        <v>386</v>
      </c>
      <c r="B105" s="190">
        <v>42764</v>
      </c>
      <c r="C105" s="10">
        <v>600</v>
      </c>
      <c r="D105" s="197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8">
        <f t="shared" si="8"/>
        <v>-8.7937048285907406E-3</v>
      </c>
      <c r="I105" s="40"/>
      <c r="J105" s="40"/>
      <c r="K105" s="40"/>
    </row>
    <row r="106" spans="1:11" x14ac:dyDescent="0.25">
      <c r="A106" t="s">
        <v>397</v>
      </c>
      <c r="B106" s="190">
        <v>42766</v>
      </c>
      <c r="C106" s="10">
        <v>400</v>
      </c>
      <c r="D106" s="197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8">
        <f t="shared" si="8"/>
        <v>4.1863850405960017E-2</v>
      </c>
      <c r="I106" s="40"/>
      <c r="J106" s="40"/>
      <c r="K106" s="40"/>
    </row>
    <row r="107" spans="1:11" x14ac:dyDescent="0.25">
      <c r="A107" t="s">
        <v>406</v>
      </c>
      <c r="B107" s="190">
        <v>42768</v>
      </c>
      <c r="C107" s="10">
        <v>500</v>
      </c>
      <c r="D107" s="197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8">
        <f t="shared" si="8"/>
        <v>1.4005943985984596E-3</v>
      </c>
      <c r="I107" s="40"/>
      <c r="J107" s="40"/>
      <c r="K107" s="40"/>
    </row>
    <row r="108" spans="1:11" x14ac:dyDescent="0.25">
      <c r="A108" t="s">
        <v>428</v>
      </c>
      <c r="B108" s="190">
        <v>42773</v>
      </c>
      <c r="C108" s="579">
        <v>600</v>
      </c>
      <c r="D108" s="606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8">
        <f t="shared" si="8"/>
        <v>-3.5071533134049267E-2</v>
      </c>
      <c r="I108" s="40"/>
      <c r="J108" s="40"/>
      <c r="K108" s="40"/>
    </row>
    <row r="109" spans="1:11" x14ac:dyDescent="0.25">
      <c r="A109" t="s">
        <v>355</v>
      </c>
      <c r="B109" s="190">
        <v>42778</v>
      </c>
      <c r="C109" s="10">
        <v>600</v>
      </c>
      <c r="D109" s="197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8">
        <f t="shared" si="8"/>
        <v>-1.2436801121895361E-2</v>
      </c>
      <c r="I109" s="40"/>
      <c r="J109" s="40"/>
      <c r="K109" s="40"/>
    </row>
    <row r="110" spans="1:11" x14ac:dyDescent="0.25">
      <c r="A110" t="s">
        <v>355</v>
      </c>
      <c r="B110" s="190">
        <v>42779</v>
      </c>
      <c r="C110" s="10">
        <v>600</v>
      </c>
      <c r="D110" s="197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8">
        <f t="shared" si="8"/>
        <v>-5.3769790013654589E-2</v>
      </c>
      <c r="I110" s="40"/>
      <c r="J110" s="40"/>
      <c r="K110" s="40"/>
    </row>
    <row r="111" spans="1:11" x14ac:dyDescent="0.25">
      <c r="A111" t="s">
        <v>457</v>
      </c>
      <c r="B111" s="190">
        <v>42785</v>
      </c>
      <c r="C111" s="10">
        <v>600</v>
      </c>
      <c r="D111" s="197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8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0">
        <v>42805</v>
      </c>
      <c r="C112" s="10">
        <v>600</v>
      </c>
      <c r="D112" s="197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8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0">
        <v>42808</v>
      </c>
      <c r="C113" s="10">
        <v>600</v>
      </c>
      <c r="D113" s="197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8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0">
        <v>42816</v>
      </c>
      <c r="C114" s="10">
        <v>800</v>
      </c>
      <c r="D114" s="197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8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0">
        <v>42828</v>
      </c>
      <c r="C115" s="10">
        <v>400</v>
      </c>
      <c r="D115" s="197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8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0">
        <v>42829</v>
      </c>
      <c r="C116" s="10">
        <v>500</v>
      </c>
      <c r="D116" s="197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8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0">
        <v>42830</v>
      </c>
      <c r="C117" s="10">
        <v>400</v>
      </c>
      <c r="D117" s="197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8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0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8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0">
        <v>42843</v>
      </c>
      <c r="C119" s="10">
        <v>300</v>
      </c>
      <c r="D119" s="197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8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0">
        <v>42852</v>
      </c>
      <c r="C120" s="10">
        <v>200</v>
      </c>
      <c r="D120" s="197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8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0">
        <v>42864</v>
      </c>
      <c r="C121" s="10">
        <v>0</v>
      </c>
      <c r="D121" s="197"/>
      <c r="E121" s="40"/>
      <c r="F121" s="40"/>
      <c r="G121" s="40"/>
      <c r="H121" s="228"/>
      <c r="I121" s="40"/>
      <c r="J121" s="40">
        <v>1283.42</v>
      </c>
      <c r="K121" s="40"/>
    </row>
    <row r="122" spans="1:11" x14ac:dyDescent="0.25">
      <c r="B122" s="190"/>
      <c r="C122" s="10"/>
      <c r="D122" s="40"/>
      <c r="E122" s="40"/>
      <c r="F122" s="40"/>
      <c r="G122" s="40"/>
      <c r="H122" s="228"/>
      <c r="I122" s="40"/>
      <c r="J122" s="40"/>
      <c r="K122" s="40"/>
    </row>
    <row r="123" spans="1:11" x14ac:dyDescent="0.25">
      <c r="B123" s="190"/>
      <c r="C123" s="10"/>
      <c r="D123" s="40"/>
      <c r="E123" s="40"/>
      <c r="F123" s="40"/>
      <c r="G123" s="40"/>
      <c r="H123" s="228"/>
      <c r="I123" s="40"/>
      <c r="J123" s="40"/>
      <c r="K123" s="40"/>
    </row>
    <row r="124" spans="1:11" x14ac:dyDescent="0.25">
      <c r="B124" s="190"/>
      <c r="C124" s="10"/>
      <c r="D124" s="40"/>
      <c r="E124" s="40"/>
      <c r="F124" s="40"/>
      <c r="G124" s="40"/>
      <c r="H124" s="228"/>
      <c r="I124" s="40"/>
      <c r="J124" s="40"/>
      <c r="K124" s="40"/>
    </row>
    <row r="125" spans="1:11" x14ac:dyDescent="0.25">
      <c r="B125" s="190"/>
      <c r="C125" s="10"/>
      <c r="D125" s="40"/>
      <c r="E125" s="40"/>
      <c r="F125" s="40"/>
      <c r="G125" s="40"/>
      <c r="H125" s="228"/>
      <c r="I125" s="40"/>
      <c r="J125" s="40"/>
      <c r="K125" s="40"/>
    </row>
    <row r="126" spans="1:11" x14ac:dyDescent="0.25">
      <c r="B126" s="190"/>
      <c r="C126" s="10"/>
      <c r="D126" s="40"/>
      <c r="E126" s="40"/>
      <c r="F126" s="40"/>
      <c r="G126" s="40"/>
      <c r="H126" s="228"/>
      <c r="I126" s="40"/>
      <c r="J126" s="40"/>
      <c r="K126" s="40"/>
    </row>
    <row r="127" spans="1:11" x14ac:dyDescent="0.25">
      <c r="B127" s="190"/>
      <c r="C127" s="10"/>
      <c r="D127" s="40"/>
      <c r="E127" s="40"/>
      <c r="F127" s="40"/>
      <c r="G127" s="40"/>
      <c r="H127" s="228"/>
      <c r="I127" s="40"/>
      <c r="J127" s="40"/>
      <c r="K127" s="40"/>
    </row>
    <row r="128" spans="1:11" x14ac:dyDescent="0.25">
      <c r="B128" s="190"/>
      <c r="C128" s="10"/>
      <c r="D128" s="40"/>
      <c r="E128" s="40"/>
      <c r="F128" s="40"/>
      <c r="G128" s="40"/>
      <c r="H128" s="228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258" priority="57">
      <formula>F31&gt;0</formula>
    </cfRule>
    <cfRule type="expression" dxfId="1257" priority="58">
      <formula>F31&lt;0</formula>
    </cfRule>
  </conditionalFormatting>
  <conditionalFormatting sqref="Q7">
    <cfRule type="expression" dxfId="1256" priority="55">
      <formula>Q7&gt;0</formula>
    </cfRule>
    <cfRule type="expression" dxfId="1255" priority="56">
      <formula>Q7&lt;0</formula>
    </cfRule>
  </conditionalFormatting>
  <conditionalFormatting sqref="Q8">
    <cfRule type="expression" dxfId="1254" priority="53">
      <formula>Q8&gt;0</formula>
    </cfRule>
    <cfRule type="expression" dxfId="1253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252" priority="45">
      <formula>M58&gt;0</formula>
    </cfRule>
    <cfRule type="expression" dxfId="1251" priority="46">
      <formula>M58&lt;0</formula>
    </cfRule>
  </conditionalFormatting>
  <conditionalFormatting sqref="Q10">
    <cfRule type="expression" dxfId="1250" priority="43">
      <formula>Q10&gt;0</formula>
    </cfRule>
    <cfRule type="expression" dxfId="1249" priority="44">
      <formula>Q10&lt;0</formula>
    </cfRule>
  </conditionalFormatting>
  <conditionalFormatting sqref="F25:F30">
    <cfRule type="expression" dxfId="1248" priority="41">
      <formula>F25&gt;0</formula>
    </cfRule>
    <cfRule type="expression" dxfId="1247" priority="42">
      <formula>F25&lt;0</formula>
    </cfRule>
  </conditionalFormatting>
  <conditionalFormatting sqref="H25:H30">
    <cfRule type="expression" dxfId="1246" priority="39">
      <formula>H25&gt;0</formula>
    </cfRule>
    <cfRule type="expression" dxfId="1245" priority="40">
      <formula>H25&lt;0</formula>
    </cfRule>
  </conditionalFormatting>
  <conditionalFormatting sqref="F83:F94">
    <cfRule type="expression" dxfId="1244" priority="37">
      <formula>F83&gt;0</formula>
    </cfRule>
    <cfRule type="expression" dxfId="1243" priority="38">
      <formula>F83&lt;0</formula>
    </cfRule>
  </conditionalFormatting>
  <conditionalFormatting sqref="H83:H94">
    <cfRule type="expression" dxfId="1242" priority="35">
      <formula>H83&gt;0</formula>
    </cfRule>
    <cfRule type="expression" dxfId="1241" priority="36">
      <formula>H83&lt;0</formula>
    </cfRule>
  </conditionalFormatting>
  <conditionalFormatting sqref="J41">
    <cfRule type="expression" dxfId="1240" priority="33">
      <formula>J41&gt;0</formula>
    </cfRule>
    <cfRule type="expression" dxfId="1239" priority="34">
      <formula>J41&lt;0</formula>
    </cfRule>
  </conditionalFormatting>
  <conditionalFormatting sqref="J39:J47 J49">
    <cfRule type="expression" dxfId="1238" priority="31">
      <formula>J39&gt;0</formula>
    </cfRule>
    <cfRule type="expression" dxfId="1237" priority="32">
      <formula>J39&lt;0</formula>
    </cfRule>
  </conditionalFormatting>
  <conditionalFormatting sqref="F48 H48">
    <cfRule type="expression" dxfId="1236" priority="29">
      <formula>F48&gt;0</formula>
    </cfRule>
    <cfRule type="expression" dxfId="1235" priority="30">
      <formula>F48&lt;0</formula>
    </cfRule>
  </conditionalFormatting>
  <conditionalFormatting sqref="J48">
    <cfRule type="expression" dxfId="1234" priority="27">
      <formula>J48&gt;0</formula>
    </cfRule>
    <cfRule type="expression" dxfId="1233" priority="28">
      <formula>J48&lt;0</formula>
    </cfRule>
  </conditionalFormatting>
  <conditionalFormatting sqref="K41:K52">
    <cfRule type="expression" dxfId="1232" priority="25">
      <formula>K41&gt;0</formula>
    </cfRule>
    <cfRule type="expression" dxfId="1231" priority="26">
      <formula>K41&lt;0</formula>
    </cfRule>
  </conditionalFormatting>
  <conditionalFormatting sqref="K39:K52">
    <cfRule type="expression" dxfId="1230" priority="23">
      <formula>K39&gt;0</formula>
    </cfRule>
    <cfRule type="expression" dxfId="1229" priority="24">
      <formula>K39&lt;0</formula>
    </cfRule>
  </conditionalFormatting>
  <conditionalFormatting sqref="F102:F118 H102:H118 H120:H128 F120:F128">
    <cfRule type="expression" dxfId="1228" priority="19">
      <formula>F102&gt;0</formula>
    </cfRule>
    <cfRule type="expression" dxfId="1227" priority="20">
      <formula>F102&lt;0</formula>
    </cfRule>
  </conditionalFormatting>
  <conditionalFormatting sqref="F96:F101">
    <cfRule type="expression" dxfId="1226" priority="17">
      <formula>F96&gt;0</formula>
    </cfRule>
    <cfRule type="expression" dxfId="1225" priority="18">
      <formula>F96&lt;0</formula>
    </cfRule>
  </conditionalFormatting>
  <conditionalFormatting sqref="H96:H101">
    <cfRule type="expression" dxfId="1224" priority="15">
      <formula>H96&gt;0</formula>
    </cfRule>
    <cfRule type="expression" dxfId="1223" priority="16">
      <formula>H96&lt;0</formula>
    </cfRule>
  </conditionalFormatting>
  <conditionalFormatting sqref="J112">
    <cfRule type="expression" dxfId="1222" priority="13">
      <formula>J112&gt;0</formula>
    </cfRule>
    <cfRule type="expression" dxfId="1221" priority="14">
      <formula>J112&lt;0</formula>
    </cfRule>
  </conditionalFormatting>
  <conditionalFormatting sqref="J110:J118 J120">
    <cfRule type="expression" dxfId="1220" priority="11">
      <formula>J110&gt;0</formula>
    </cfRule>
    <cfRule type="expression" dxfId="1219" priority="12">
      <formula>J110&lt;0</formula>
    </cfRule>
  </conditionalFormatting>
  <conditionalFormatting sqref="F119 H119">
    <cfRule type="expression" dxfId="1218" priority="9">
      <formula>F119&gt;0</formula>
    </cfRule>
    <cfRule type="expression" dxfId="1217" priority="10">
      <formula>F119&lt;0</formula>
    </cfRule>
  </conditionalFormatting>
  <conditionalFormatting sqref="J119">
    <cfRule type="expression" dxfId="1216" priority="7">
      <formula>J119&gt;0</formula>
    </cfRule>
    <cfRule type="expression" dxfId="1215" priority="8">
      <formula>J119&lt;0</formula>
    </cfRule>
  </conditionalFormatting>
  <conditionalFormatting sqref="K112:K123">
    <cfRule type="expression" dxfId="1214" priority="5">
      <formula>K112&gt;0</formula>
    </cfRule>
    <cfRule type="expression" dxfId="1213" priority="6">
      <formula>K112&lt;0</formula>
    </cfRule>
  </conditionalFormatting>
  <conditionalFormatting sqref="K110:K123">
    <cfRule type="expression" dxfId="1212" priority="3">
      <formula>K110&gt;0</formula>
    </cfRule>
    <cfRule type="expression" dxfId="1211" priority="4">
      <formula>K110&lt;0</formula>
    </cfRule>
  </conditionalFormatting>
  <conditionalFormatting sqref="J121">
    <cfRule type="expression" dxfId="1210" priority="1">
      <formula>J121&gt;0</formula>
    </cfRule>
    <cfRule type="expression" dxfId="1209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5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55.2</v>
      </c>
      <c r="T3" s="1"/>
      <c r="W3" s="131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5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55.2</v>
      </c>
      <c r="R4" s="497">
        <v>8.8000000000000005E-3</v>
      </c>
      <c r="T4" s="160"/>
      <c r="U4" s="1"/>
      <c r="W4" s="131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5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5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5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1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5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5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5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M55</f>
        <v>117.73999999999978</v>
      </c>
      <c r="W10" s="131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5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5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5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131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5">
        <f t="shared" si="1"/>
        <v>-2.9373246024321786E-2</v>
      </c>
    </row>
    <row r="14" spans="1:31" x14ac:dyDescent="0.25">
      <c r="H14" s="71"/>
      <c r="W14" s="131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5">
        <f t="shared" si="1"/>
        <v>5.0770966528770334E-3</v>
      </c>
    </row>
    <row r="15" spans="1:31" x14ac:dyDescent="0.25">
      <c r="H15" s="71"/>
      <c r="W15" s="131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5">
        <f t="shared" si="1"/>
        <v>-1.7913204062788513E-2</v>
      </c>
    </row>
    <row r="16" spans="1:31" x14ac:dyDescent="0.25">
      <c r="H16" s="71"/>
      <c r="W16" s="131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5">
        <f t="shared" si="1"/>
        <v>-2.5787437833855176E-3</v>
      </c>
    </row>
    <row r="17" spans="1:31" x14ac:dyDescent="0.25">
      <c r="W17" s="131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5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5">
        <f t="shared" si="1"/>
        <v>-2.9546705817581231E-2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5">
        <f t="shared" si="1"/>
        <v>-2.487473156764497E-2</v>
      </c>
    </row>
    <row r="20" spans="1:31" x14ac:dyDescent="0.25">
      <c r="W20" s="131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5">
        <f t="shared" si="1"/>
        <v>-8.5166784953867314E-3</v>
      </c>
    </row>
    <row r="21" spans="1:31" x14ac:dyDescent="0.25">
      <c r="W21" s="131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5">
        <f t="shared" si="1"/>
        <v>-5.6457304163726185E-3</v>
      </c>
    </row>
    <row r="22" spans="1:31" x14ac:dyDescent="0.25">
      <c r="W22" s="131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5">
        <f t="shared" si="1"/>
        <v>-2.6394509941931599E-3</v>
      </c>
    </row>
    <row r="23" spans="1:31" x14ac:dyDescent="0.25">
      <c r="W23" s="131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5" t="e">
        <f t="shared" si="1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 t="s">
        <v>324</v>
      </c>
      <c r="Y24" s="10"/>
      <c r="Z24" s="10"/>
      <c r="AA24" s="10"/>
      <c r="AB24" s="94"/>
      <c r="AC24" s="10"/>
      <c r="AD24">
        <f t="shared" si="0"/>
        <v>0</v>
      </c>
      <c r="AE24" s="135">
        <f t="shared" si="1"/>
        <v>-1</v>
      </c>
    </row>
    <row r="25" spans="1:31" x14ac:dyDescent="0.25">
      <c r="B25" s="190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8">
        <f t="shared" ref="H25:H43" si="3">(E25-D25)/D25</f>
        <v>-3.1225582705351872E-2</v>
      </c>
      <c r="I25" s="40"/>
      <c r="W25" s="131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5">
        <f t="shared" si="1"/>
        <v>-2.2123893805309658E-2</v>
      </c>
    </row>
    <row r="26" spans="1:31" x14ac:dyDescent="0.25">
      <c r="B26" s="190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8">
        <f t="shared" si="3"/>
        <v>-1.7986704012418631E-2</v>
      </c>
      <c r="I26" s="40"/>
      <c r="W26" s="131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5">
        <f t="shared" si="1"/>
        <v>2.2446493822864122E-2</v>
      </c>
    </row>
    <row r="27" spans="1:31" x14ac:dyDescent="0.25">
      <c r="B27" s="190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8">
        <f t="shared" si="3"/>
        <v>-2.4048734868314506E-2</v>
      </c>
      <c r="I27" s="40"/>
      <c r="W27" s="131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5">
        <f t="shared" si="1"/>
        <v>-2.2286492004083058E-2</v>
      </c>
    </row>
    <row r="28" spans="1:31" x14ac:dyDescent="0.25">
      <c r="B28" s="190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8">
        <f t="shared" si="3"/>
        <v>-1.5673735521350285E-5</v>
      </c>
      <c r="I28" s="40"/>
      <c r="W28" s="131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5">
        <f t="shared" si="1"/>
        <v>1.8717504332755652E-2</v>
      </c>
    </row>
    <row r="29" spans="1:31" x14ac:dyDescent="0.25">
      <c r="B29" s="190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8">
        <f t="shared" si="3"/>
        <v>-3.3191747255790181E-2</v>
      </c>
      <c r="I29" s="40"/>
      <c r="W29" s="131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5">
        <f t="shared" si="1"/>
        <v>-1.0800617178124416E-2</v>
      </c>
    </row>
    <row r="30" spans="1:31" x14ac:dyDescent="0.25">
      <c r="B30" s="190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8">
        <f t="shared" si="3"/>
        <v>-7.1592399283187849E-2</v>
      </c>
      <c r="I30" s="40"/>
      <c r="W30" s="131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5">
        <f t="shared" si="1"/>
        <v>-1.8822724161533522E-3</v>
      </c>
    </row>
    <row r="31" spans="1:31" x14ac:dyDescent="0.25">
      <c r="B31" s="190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8">
        <f t="shared" si="3"/>
        <v>-3.3714205106502977E-2</v>
      </c>
      <c r="I31" s="40"/>
      <c r="W31" s="131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5">
        <f t="shared" si="1"/>
        <v>2.2393282015395366E-2</v>
      </c>
    </row>
    <row r="32" spans="1:31" x14ac:dyDescent="0.25">
      <c r="B32" s="190">
        <v>42598</v>
      </c>
      <c r="C32" s="486">
        <v>200</v>
      </c>
      <c r="D32" s="489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8">
        <f t="shared" si="3"/>
        <v>-3.9591852835597109E-2</v>
      </c>
      <c r="I32" s="40"/>
      <c r="W32" s="131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5">
        <f t="shared" si="1"/>
        <v>-1.1243729458571328E-2</v>
      </c>
    </row>
    <row r="33" spans="2:31" x14ac:dyDescent="0.25">
      <c r="B33" s="190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8">
        <f t="shared" si="3"/>
        <v>-3.0913465963629656E-2</v>
      </c>
      <c r="I33" s="233"/>
      <c r="W33" s="131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5">
        <f t="shared" si="1"/>
        <v>8.6565096952906373E-4</v>
      </c>
    </row>
    <row r="34" spans="2:31" x14ac:dyDescent="0.25">
      <c r="B34" s="190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8">
        <f t="shared" si="3"/>
        <v>-4.4062536981762226E-2</v>
      </c>
      <c r="I34" s="40"/>
      <c r="W34" s="131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5">
        <f t="shared" si="1"/>
        <v>9.4372596994058977E-3</v>
      </c>
    </row>
    <row r="35" spans="2:31" x14ac:dyDescent="0.25">
      <c r="B35" s="190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8">
        <f t="shared" si="3"/>
        <v>-3.5121168689432179E-2</v>
      </c>
      <c r="I35" s="40"/>
      <c r="W35" s="131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5">
        <f t="shared" si="1"/>
        <v>1.7425320056899007E-2</v>
      </c>
    </row>
    <row r="36" spans="2:31" x14ac:dyDescent="0.25">
      <c r="B36" s="190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8">
        <f t="shared" si="3"/>
        <v>-4.1432722778135672E-2</v>
      </c>
      <c r="I36" s="40"/>
      <c r="W36" s="131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5">
        <f t="shared" si="1"/>
        <v>-1.661129568106301E-2</v>
      </c>
    </row>
    <row r="37" spans="2:31" x14ac:dyDescent="0.25">
      <c r="B37" s="190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8">
        <f t="shared" si="3"/>
        <v>-2.2235079091662207E-2</v>
      </c>
      <c r="I37" s="40"/>
      <c r="W37" s="131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5">
        <f t="shared" si="1"/>
        <v>3.5863068284730959E-2</v>
      </c>
    </row>
    <row r="38" spans="2:31" x14ac:dyDescent="0.25">
      <c r="B38" s="190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8">
        <f t="shared" si="3"/>
        <v>-2.9861540282179074E-2</v>
      </c>
      <c r="I38" s="40"/>
      <c r="W38" s="131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5">
        <f t="shared" si="1"/>
        <v>-7.5498831565702362E-3</v>
      </c>
    </row>
    <row r="39" spans="2:31" x14ac:dyDescent="0.25">
      <c r="B39" s="190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8">
        <f t="shared" si="3"/>
        <v>2.9495525899743861E-2</v>
      </c>
      <c r="I39" s="40"/>
      <c r="W39" s="131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5">
        <f t="shared" si="1"/>
        <v>1.8677897820911893E-2</v>
      </c>
    </row>
    <row r="40" spans="2:31" ht="20.25" thickBot="1" x14ac:dyDescent="0.35">
      <c r="B40" s="190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8">
        <f t="shared" si="3"/>
        <v>3.7145655280184459E-2</v>
      </c>
      <c r="I40" s="40"/>
      <c r="O40" s="716" t="s">
        <v>78</v>
      </c>
      <c r="P40" s="716"/>
      <c r="W40" s="131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5">
        <f t="shared" si="1"/>
        <v>3.3069998162778003E-3</v>
      </c>
    </row>
    <row r="41" spans="2:31" ht="15.75" thickTop="1" x14ac:dyDescent="0.25">
      <c r="B41" s="190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8">
        <f t="shared" si="3"/>
        <v>-8.5090897414619962E-4</v>
      </c>
      <c r="I41" s="40"/>
      <c r="O41" s="82">
        <v>1.1000000000000001</v>
      </c>
      <c r="P41" s="82">
        <f>O41*$Q$4</f>
        <v>60.720000000000006</v>
      </c>
      <c r="Q41" s="2"/>
      <c r="W41" s="131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5">
        <f t="shared" si="1"/>
        <v>3.028582244936584E-2</v>
      </c>
    </row>
    <row r="42" spans="2:31" ht="20.25" thickBot="1" x14ac:dyDescent="0.35">
      <c r="B42" s="190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8">
        <f t="shared" si="3"/>
        <v>1.1993000069571172E-2</v>
      </c>
      <c r="I42" s="40"/>
      <c r="O42" s="82">
        <v>1.0900000000000001</v>
      </c>
      <c r="P42" s="82">
        <f t="shared" ref="P42:P61" si="6">O42*$Q$4</f>
        <v>60.168000000000006</v>
      </c>
      <c r="Q42" s="2"/>
      <c r="T42" s="90" t="s">
        <v>112</v>
      </c>
      <c r="W42" s="131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5">
        <f t="shared" si="1"/>
        <v>-2.2662889518414442E-3</v>
      </c>
    </row>
    <row r="43" spans="2:31" ht="15.75" thickTop="1" x14ac:dyDescent="0.25">
      <c r="B43" s="190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8">
        <f t="shared" si="3"/>
        <v>-1.1184904125571167E-3</v>
      </c>
      <c r="I43" s="40"/>
      <c r="O43" s="82">
        <v>1.08</v>
      </c>
      <c r="P43" s="82">
        <f t="shared" si="6"/>
        <v>59.616000000000007</v>
      </c>
      <c r="Q43" s="2"/>
      <c r="T43" s="126" t="s">
        <v>97</v>
      </c>
      <c r="U43" s="127">
        <v>53.07</v>
      </c>
      <c r="W43" s="131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5">
        <f t="shared" si="1"/>
        <v>-5.6625141562838266E-4</v>
      </c>
    </row>
    <row r="44" spans="2:31" x14ac:dyDescent="0.25">
      <c r="B44" s="190">
        <v>42640</v>
      </c>
      <c r="C44" s="10">
        <v>0</v>
      </c>
      <c r="D44" s="40"/>
      <c r="E44" s="40"/>
      <c r="F44" s="40">
        <v>117.74</v>
      </c>
      <c r="G44" s="40"/>
      <c r="H44" s="228"/>
      <c r="I44" s="40"/>
      <c r="O44" s="82">
        <v>1.07</v>
      </c>
      <c r="P44" s="82">
        <f t="shared" si="6"/>
        <v>59.064000000000007</v>
      </c>
      <c r="Q44" s="2"/>
      <c r="T44" s="92" t="s">
        <v>98</v>
      </c>
      <c r="U44" s="128">
        <v>53.49</v>
      </c>
      <c r="W44" s="131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5">
        <f t="shared" si="1"/>
        <v>3.5991665088084268E-3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6"/>
        <v>58.512000000000008</v>
      </c>
      <c r="Q45" s="2"/>
      <c r="T45" s="92" t="s">
        <v>99</v>
      </c>
      <c r="U45" s="128" t="s">
        <v>128</v>
      </c>
      <c r="W45" s="131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5">
        <f t="shared" si="1"/>
        <v>3.7900322152739641E-4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6"/>
        <v>57.960000000000008</v>
      </c>
      <c r="Q46" s="2"/>
      <c r="T46" s="92" t="s">
        <v>100</v>
      </c>
      <c r="U46" s="128" t="s">
        <v>128</v>
      </c>
      <c r="W46" s="131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5">
        <f t="shared" si="1"/>
        <v>2.469604863222008E-3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6"/>
        <v>57.408000000000008</v>
      </c>
      <c r="Q47" s="2"/>
      <c r="T47" s="92" t="s">
        <v>101</v>
      </c>
      <c r="U47" s="128">
        <v>62.8</v>
      </c>
      <c r="W47" s="131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5">
        <f t="shared" si="1"/>
        <v>8.0428954423592547E-3</v>
      </c>
    </row>
    <row r="48" spans="2:31" x14ac:dyDescent="0.25">
      <c r="O48" s="82">
        <v>1.03</v>
      </c>
      <c r="P48" s="82">
        <f t="shared" si="6"/>
        <v>56.856000000000002</v>
      </c>
      <c r="Q48" s="2"/>
      <c r="T48" s="92" t="s">
        <v>102</v>
      </c>
      <c r="U48" s="128">
        <v>1.1985399999999999</v>
      </c>
      <c r="W48" s="131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5">
        <f t="shared" si="1"/>
        <v>-7.6540375047839948E-4</v>
      </c>
    </row>
    <row r="49" spans="1:31" x14ac:dyDescent="0.25">
      <c r="O49" s="82">
        <v>1.02</v>
      </c>
      <c r="P49" s="82">
        <f t="shared" si="6"/>
        <v>56.304000000000002</v>
      </c>
      <c r="Q49" s="2"/>
      <c r="T49" s="92" t="s">
        <v>103</v>
      </c>
      <c r="U49" s="128" t="s">
        <v>388</v>
      </c>
      <c r="W49" s="131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5">
        <f t="shared" si="1"/>
        <v>-6.6527276183235839E-3</v>
      </c>
    </row>
    <row r="50" spans="1:31" x14ac:dyDescent="0.25">
      <c r="O50" s="82">
        <v>1.01</v>
      </c>
      <c r="P50" s="82">
        <f t="shared" si="6"/>
        <v>55.752000000000002</v>
      </c>
      <c r="Q50" s="2"/>
      <c r="T50" s="92"/>
      <c r="U50" s="128"/>
      <c r="W50" s="131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5">
        <f t="shared" si="1"/>
        <v>-2.2663942039754748E-2</v>
      </c>
    </row>
    <row r="51" spans="1:31" x14ac:dyDescent="0.25">
      <c r="O51" s="82">
        <v>1</v>
      </c>
      <c r="P51" s="82">
        <f t="shared" si="6"/>
        <v>55.2</v>
      </c>
      <c r="Q51" s="2"/>
      <c r="T51" s="92" t="s">
        <v>104</v>
      </c>
      <c r="U51" s="128" t="s">
        <v>629</v>
      </c>
      <c r="W51" s="131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5">
        <f t="shared" si="1"/>
        <v>9.0338262102491518E-2</v>
      </c>
    </row>
    <row r="52" spans="1:31" x14ac:dyDescent="0.25">
      <c r="O52" s="82">
        <v>0.99</v>
      </c>
      <c r="P52" s="82">
        <f t="shared" si="6"/>
        <v>54.648000000000003</v>
      </c>
      <c r="Q52" s="2"/>
      <c r="T52" s="92" t="s">
        <v>105</v>
      </c>
      <c r="U52" s="128" t="s">
        <v>497</v>
      </c>
      <c r="W52" s="131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5">
        <f t="shared" si="1"/>
        <v>-3.8337368845844377E-3</v>
      </c>
    </row>
    <row r="53" spans="1:31" x14ac:dyDescent="0.25">
      <c r="O53" s="82">
        <v>0.98</v>
      </c>
      <c r="P53" s="82">
        <f t="shared" si="6"/>
        <v>54.096000000000004</v>
      </c>
      <c r="Q53" s="2"/>
      <c r="T53" s="92" t="s">
        <v>106</v>
      </c>
      <c r="U53" s="129">
        <v>4822565</v>
      </c>
      <c r="W53" s="131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5">
        <f t="shared" si="1"/>
        <v>-5.8174523570712067E-3</v>
      </c>
    </row>
    <row r="54" spans="1:31" x14ac:dyDescent="0.25">
      <c r="O54" s="82">
        <v>0.97</v>
      </c>
      <c r="P54" s="82">
        <f t="shared" si="6"/>
        <v>53.544000000000004</v>
      </c>
      <c r="T54" s="92" t="s">
        <v>109</v>
      </c>
      <c r="U54" s="129">
        <v>5759600</v>
      </c>
      <c r="W54" s="131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5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52.991999999999997</v>
      </c>
      <c r="T55" s="92" t="s">
        <v>107</v>
      </c>
      <c r="U55" s="128" t="s">
        <v>630</v>
      </c>
      <c r="W55" s="131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5">
        <f t="shared" si="1"/>
        <v>2.0408163265306145E-2</v>
      </c>
    </row>
    <row r="56" spans="1:31" x14ac:dyDescent="0.25">
      <c r="A56" s="382" t="s">
        <v>1</v>
      </c>
      <c r="B56" s="382" t="s">
        <v>2</v>
      </c>
      <c r="C56" s="382" t="s">
        <v>4</v>
      </c>
      <c r="D56" s="384" t="s">
        <v>5</v>
      </c>
      <c r="E56" s="384" t="s">
        <v>94</v>
      </c>
      <c r="F56" s="384" t="s">
        <v>60</v>
      </c>
      <c r="G56" s="382" t="s">
        <v>3</v>
      </c>
      <c r="H56" s="382" t="s">
        <v>6</v>
      </c>
      <c r="I56" s="384" t="s">
        <v>7</v>
      </c>
      <c r="J56" s="384" t="s">
        <v>95</v>
      </c>
      <c r="K56" s="384" t="s">
        <v>61</v>
      </c>
      <c r="L56" s="382" t="s">
        <v>37</v>
      </c>
      <c r="M56" s="382" t="s">
        <v>38</v>
      </c>
      <c r="O56" s="82">
        <v>0.95</v>
      </c>
      <c r="P56" s="82">
        <f t="shared" si="6"/>
        <v>52.44</v>
      </c>
      <c r="T56" s="92" t="s">
        <v>110</v>
      </c>
      <c r="U56" s="128">
        <v>15.04</v>
      </c>
      <c r="W56" s="131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5">
        <f t="shared" si="1"/>
        <v>-6.1642473652814278E-3</v>
      </c>
    </row>
    <row r="57" spans="1:31" x14ac:dyDescent="0.25">
      <c r="A57" s="385" t="s">
        <v>36</v>
      </c>
      <c r="B57" s="375">
        <v>42572</v>
      </c>
      <c r="C57" s="376">
        <v>60</v>
      </c>
      <c r="D57" s="377">
        <v>39.58</v>
      </c>
      <c r="E57" s="377">
        <v>0</v>
      </c>
      <c r="F57" s="377">
        <f>C57*D57+E57</f>
        <v>2374.7999999999997</v>
      </c>
      <c r="G57" s="375">
        <v>42620</v>
      </c>
      <c r="H57" s="380">
        <v>100</v>
      </c>
      <c r="I57" s="377">
        <v>38.479999999999997</v>
      </c>
      <c r="J57" s="377">
        <v>0.08</v>
      </c>
      <c r="K57" s="377">
        <f>I57*H57-J57</f>
        <v>3847.9199999999996</v>
      </c>
      <c r="L57" s="375">
        <v>42621</v>
      </c>
      <c r="M57" s="377">
        <v>20</v>
      </c>
      <c r="O57" s="82">
        <v>0.94</v>
      </c>
      <c r="P57" s="82">
        <f t="shared" si="6"/>
        <v>51.887999999999998</v>
      </c>
      <c r="T57" s="92" t="s">
        <v>111</v>
      </c>
      <c r="U57" s="128">
        <v>3.55</v>
      </c>
      <c r="W57" s="131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5">
        <f t="shared" si="1"/>
        <v>2.7916251246260515E-3</v>
      </c>
    </row>
    <row r="58" spans="1:31" x14ac:dyDescent="0.25">
      <c r="A58" s="386" t="s">
        <v>71</v>
      </c>
      <c r="B58" s="375">
        <v>42572</v>
      </c>
      <c r="C58" s="376">
        <v>40</v>
      </c>
      <c r="D58" s="377">
        <v>37.880000000000003</v>
      </c>
      <c r="E58" s="377">
        <v>0</v>
      </c>
      <c r="F58" s="377">
        <f>C58*D58+E58</f>
        <v>1515.2</v>
      </c>
      <c r="G58" s="375">
        <v>42640</v>
      </c>
      <c r="H58" s="380">
        <v>100</v>
      </c>
      <c r="I58" s="377">
        <v>38.549999999999997</v>
      </c>
      <c r="J58" s="377">
        <v>0.08</v>
      </c>
      <c r="K58" s="377">
        <f>I58*H58-J58</f>
        <v>3854.9199999999996</v>
      </c>
      <c r="L58" s="376"/>
      <c r="M58" s="376"/>
      <c r="O58" s="82">
        <v>0.93</v>
      </c>
      <c r="P58" s="82">
        <f t="shared" si="6"/>
        <v>51.336000000000006</v>
      </c>
      <c r="T58" s="92" t="s">
        <v>108</v>
      </c>
      <c r="U58" s="128" t="s">
        <v>571</v>
      </c>
      <c r="W58" s="131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5">
        <f t="shared" si="1"/>
        <v>-1.7822169996083104E-2</v>
      </c>
    </row>
    <row r="59" spans="1:31" x14ac:dyDescent="0.25">
      <c r="A59" s="376"/>
      <c r="B59" s="375">
        <v>42572</v>
      </c>
      <c r="C59" s="376">
        <v>40</v>
      </c>
      <c r="D59" s="377">
        <v>37.58</v>
      </c>
      <c r="E59" s="377">
        <v>0</v>
      </c>
      <c r="F59" s="377">
        <f>C59*D59+E59</f>
        <v>1503.1999999999998</v>
      </c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6"/>
        <v>50.784000000000006</v>
      </c>
      <c r="W59" s="131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5">
        <f t="shared" si="1"/>
        <v>2.74941084053415E-3</v>
      </c>
    </row>
    <row r="60" spans="1:31" x14ac:dyDescent="0.25">
      <c r="A60" s="376"/>
      <c r="B60" s="375">
        <v>42576</v>
      </c>
      <c r="C60" s="376">
        <v>30</v>
      </c>
      <c r="D60" s="377">
        <v>37.15</v>
      </c>
      <c r="E60" s="377">
        <v>0</v>
      </c>
      <c r="F60" s="377">
        <f>C60*D60+E60</f>
        <v>1114.5</v>
      </c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6"/>
        <v>50.232000000000006</v>
      </c>
      <c r="W60" s="131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5">
        <f t="shared" si="1"/>
        <v>-1.2987012987012991E-2</v>
      </c>
    </row>
    <row r="61" spans="1:31" x14ac:dyDescent="0.25">
      <c r="A61" s="376"/>
      <c r="B61" s="375">
        <v>42594</v>
      </c>
      <c r="C61" s="376">
        <v>30</v>
      </c>
      <c r="D61" s="377">
        <v>36.58</v>
      </c>
      <c r="E61" s="377">
        <v>0</v>
      </c>
      <c r="F61" s="377">
        <f>C61*D61+E61</f>
        <v>1097.3999999999999</v>
      </c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6"/>
        <v>49.680000000000007</v>
      </c>
      <c r="W61" s="131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5">
        <f t="shared" si="1"/>
        <v>6.6341463414634205E-3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5">
        <f t="shared" si="1"/>
        <v>2.0713005377414939E-2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80"/>
      <c r="I63" s="377"/>
      <c r="J63" s="377"/>
      <c r="K63" s="377"/>
      <c r="L63" s="376"/>
      <c r="M63" s="376"/>
      <c r="W63" s="131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5">
        <f t="shared" si="1"/>
        <v>7.4237560192615959E-3</v>
      </c>
    </row>
    <row r="64" spans="1:31" x14ac:dyDescent="0.25">
      <c r="A64" s="376"/>
      <c r="B64" s="376"/>
      <c r="C64" s="376"/>
      <c r="D64" s="377"/>
      <c r="E64" s="377"/>
      <c r="F64" s="377"/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5">
        <f t="shared" si="1"/>
        <v>-1.0718539102818614E-2</v>
      </c>
    </row>
    <row r="65" spans="1:31" x14ac:dyDescent="0.25">
      <c r="A65" s="376"/>
      <c r="B65" s="376"/>
      <c r="C65" s="376"/>
      <c r="D65" s="377"/>
      <c r="E65" s="377"/>
      <c r="F65" s="377"/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5">
        <f t="shared" si="1"/>
        <v>-1.6207771919546921E-2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5">
        <f t="shared" si="1"/>
        <v>2.6458208057726917E-2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76"/>
      <c r="I72" s="377"/>
      <c r="J72" s="377"/>
      <c r="K72" s="377"/>
      <c r="L72" s="376"/>
      <c r="M72" s="376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5"/>
      <c r="B74" s="466"/>
      <c r="C74" s="467"/>
      <c r="D74" s="467"/>
      <c r="E74" s="467"/>
      <c r="F74" s="468"/>
      <c r="G74" s="467"/>
      <c r="H74" s="467"/>
      <c r="I74" s="467"/>
      <c r="J74" s="467"/>
      <c r="K74" s="468"/>
      <c r="L74" s="467"/>
      <c r="M74" s="4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208" priority="15">
      <formula>F39&gt;0</formula>
    </cfRule>
    <cfRule type="expression" dxfId="1207" priority="16">
      <formula>F39&lt;0</formula>
    </cfRule>
  </conditionalFormatting>
  <conditionalFormatting sqref="Q7">
    <cfRule type="expression" dxfId="1206" priority="13">
      <formula>Q7&gt;0</formula>
    </cfRule>
    <cfRule type="expression" dxfId="1205" priority="14">
      <formula>Q7&lt;0</formula>
    </cfRule>
  </conditionalFormatting>
  <conditionalFormatting sqref="Q8">
    <cfRule type="expression" dxfId="1204" priority="11">
      <formula>Q8&gt;0</formula>
    </cfRule>
    <cfRule type="expression" dxfId="1203" priority="12">
      <formula>Q8&lt;0</formula>
    </cfRule>
  </conditionalFormatting>
  <conditionalFormatting sqref="F25:F38">
    <cfRule type="expression" dxfId="1202" priority="9">
      <formula>F25&gt;0</formula>
    </cfRule>
    <cfRule type="expression" dxfId="1201" priority="10">
      <formula>F25&lt;0</formula>
    </cfRule>
  </conditionalFormatting>
  <conditionalFormatting sqref="H25:H38">
    <cfRule type="expression" dxfId="1200" priority="7">
      <formula>H25&gt;0</formula>
    </cfRule>
    <cfRule type="expression" dxfId="119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98" priority="3">
      <formula>M55&gt;0</formula>
    </cfRule>
    <cfRule type="expression" dxfId="1197" priority="4">
      <formula>M55&lt;0</formula>
    </cfRule>
  </conditionalFormatting>
  <conditionalFormatting sqref="Q10">
    <cfRule type="expression" dxfId="1196" priority="1">
      <formula>Q10&gt;0</formula>
    </cfRule>
    <cfRule type="expression" dxfId="11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327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59">
        <f>AC2/AC3-1</f>
        <v>-5.3064473335101559E-3</v>
      </c>
    </row>
    <row r="3" spans="1:31" x14ac:dyDescent="0.25">
      <c r="A3" s="23" t="s">
        <v>71</v>
      </c>
      <c r="G3" s="73"/>
      <c r="H3" s="182"/>
      <c r="I3" s="3"/>
      <c r="J3" s="3"/>
      <c r="K3" s="3"/>
      <c r="O3" s="11" t="s">
        <v>58</v>
      </c>
      <c r="Q3" s="488">
        <f>IF(Q2=0, Q4, (F18-K18-M18)/Q2)</f>
        <v>43.74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59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43.74</v>
      </c>
      <c r="R4" s="497">
        <v>2.8E-3</v>
      </c>
      <c r="T4" s="160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59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59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59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59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O8" s="11" t="s">
        <v>181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59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O9" s="11" t="s">
        <v>211</v>
      </c>
      <c r="Q9" s="135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59">
        <f t="shared" si="1"/>
        <v>2.3879013000795979E-3</v>
      </c>
    </row>
    <row r="10" spans="1:31" x14ac:dyDescent="0.25">
      <c r="O10" s="11" t="s">
        <v>210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59">
        <f t="shared" si="1"/>
        <v>7.754010695187219E-3</v>
      </c>
    </row>
    <row r="11" spans="1:31" x14ac:dyDescent="0.25">
      <c r="O11" s="11" t="s">
        <v>176</v>
      </c>
      <c r="P11" s="34"/>
      <c r="Q11" s="135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59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59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59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59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59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59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59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59">
        <f t="shared" si="1"/>
        <v>-8.3916083916083517E-3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578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59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59">
        <f t="shared" si="1"/>
        <v>9.0497737556560764E-3</v>
      </c>
    </row>
    <row r="21" spans="1:31" x14ac:dyDescent="0.25">
      <c r="B21" s="508" t="s">
        <v>113</v>
      </c>
      <c r="C21" s="508" t="s">
        <v>146</v>
      </c>
      <c r="D21" s="509" t="s">
        <v>145</v>
      </c>
      <c r="E21" s="510" t="s">
        <v>147</v>
      </c>
      <c r="F21" s="511" t="s">
        <v>65</v>
      </c>
      <c r="G21" s="512" t="s">
        <v>151</v>
      </c>
      <c r="H21" s="511" t="s">
        <v>88</v>
      </c>
      <c r="I21" s="512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59">
        <f t="shared" si="1"/>
        <v>-3.3821871476887866E-3</v>
      </c>
    </row>
    <row r="22" spans="1:31" x14ac:dyDescent="0.25">
      <c r="A22" t="s">
        <v>364</v>
      </c>
      <c r="B22" s="190">
        <v>42754</v>
      </c>
      <c r="C22" s="10">
        <v>50</v>
      </c>
      <c r="D22" s="199">
        <v>31.18</v>
      </c>
      <c r="E22" s="40">
        <v>33.86</v>
      </c>
      <c r="F22" s="233">
        <f>C22*(E22-D22)</f>
        <v>134</v>
      </c>
      <c r="G22" s="40">
        <f>D22*C22</f>
        <v>1559</v>
      </c>
      <c r="H22" s="229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59">
        <f t="shared" si="1"/>
        <v>2.543091268719877E-3</v>
      </c>
    </row>
    <row r="23" spans="1:31" x14ac:dyDescent="0.25">
      <c r="B23" s="190"/>
      <c r="C23" s="10"/>
      <c r="D23" s="199"/>
      <c r="E23" s="40"/>
      <c r="F23" s="233"/>
      <c r="G23" s="40"/>
      <c r="H23" s="229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59">
        <f t="shared" si="1"/>
        <v>1.287922152261034E-2</v>
      </c>
    </row>
    <row r="24" spans="1:31" x14ac:dyDescent="0.25">
      <c r="B24" s="190"/>
      <c r="C24" s="10"/>
      <c r="D24" s="199"/>
      <c r="E24" s="40"/>
      <c r="F24" s="233"/>
      <c r="G24" s="40"/>
      <c r="H24" s="229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59">
        <f t="shared" si="1"/>
        <v>-5.4084827782523437E-3</v>
      </c>
    </row>
    <row r="25" spans="1:31" x14ac:dyDescent="0.25">
      <c r="B25" s="190"/>
      <c r="C25" s="10"/>
      <c r="D25" s="199"/>
      <c r="E25" s="40"/>
      <c r="F25" s="233"/>
      <c r="G25" s="40"/>
      <c r="H25" s="229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59">
        <f t="shared" si="1"/>
        <v>1.5317919075144459E-2</v>
      </c>
    </row>
    <row r="26" spans="1:31" x14ac:dyDescent="0.25">
      <c r="B26" s="190"/>
      <c r="C26" s="10"/>
      <c r="D26" s="199"/>
      <c r="E26" s="40"/>
      <c r="F26" s="233"/>
      <c r="G26" s="40"/>
      <c r="H26" s="229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59">
        <f t="shared" si="1"/>
        <v>3.1893302406493795E-3</v>
      </c>
    </row>
    <row r="27" spans="1:31" x14ac:dyDescent="0.25">
      <c r="B27" s="190"/>
      <c r="C27" s="10"/>
      <c r="D27" s="199"/>
      <c r="E27" s="40"/>
      <c r="F27" s="233"/>
      <c r="G27" s="40"/>
      <c r="H27" s="229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59">
        <f t="shared" si="1"/>
        <v>-5.7653502450272232E-3</v>
      </c>
    </row>
    <row r="28" spans="1:31" x14ac:dyDescent="0.25">
      <c r="B28" s="190"/>
      <c r="C28" s="10"/>
      <c r="D28" s="199"/>
      <c r="E28" s="40"/>
      <c r="F28" s="233"/>
      <c r="G28" s="40"/>
      <c r="H28" s="229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59">
        <f t="shared" si="1"/>
        <v>-8.8571428571428967E-3</v>
      </c>
    </row>
    <row r="29" spans="1:31" x14ac:dyDescent="0.25">
      <c r="B29" s="190"/>
      <c r="C29" s="10"/>
      <c r="D29" s="199"/>
      <c r="E29" s="40"/>
      <c r="F29" s="233"/>
      <c r="G29" s="40"/>
      <c r="H29" s="229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59">
        <f t="shared" si="1"/>
        <v>1.4306151645206988E-3</v>
      </c>
    </row>
    <row r="30" spans="1:31" x14ac:dyDescent="0.25">
      <c r="B30" s="190"/>
      <c r="C30" s="10"/>
      <c r="D30" s="199"/>
      <c r="E30" s="40"/>
      <c r="F30" s="233"/>
      <c r="G30" s="40"/>
      <c r="H30" s="229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59">
        <f t="shared" si="1"/>
        <v>-1.8258426966292096E-2</v>
      </c>
    </row>
    <row r="31" spans="1:31" x14ac:dyDescent="0.25">
      <c r="B31" s="190"/>
      <c r="C31" s="10"/>
      <c r="D31" s="199"/>
      <c r="E31" s="40"/>
      <c r="F31" s="233"/>
      <c r="G31" s="40"/>
      <c r="H31" s="229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59">
        <f t="shared" si="1"/>
        <v>2.8097780275349038E-4</v>
      </c>
    </row>
    <row r="32" spans="1:31" x14ac:dyDescent="0.25">
      <c r="B32" s="190"/>
      <c r="C32" s="10"/>
      <c r="D32" s="199"/>
      <c r="E32" s="40"/>
      <c r="F32" s="233"/>
      <c r="G32" s="40"/>
      <c r="H32" s="229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59">
        <f t="shared" si="1"/>
        <v>5.6513139304890103E-3</v>
      </c>
    </row>
    <row r="33" spans="1:31" x14ac:dyDescent="0.25">
      <c r="B33" s="190"/>
      <c r="C33" s="10"/>
      <c r="D33" s="199"/>
      <c r="E33" s="40"/>
      <c r="F33" s="233"/>
      <c r="G33" s="40"/>
      <c r="H33" s="229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59">
        <f t="shared" si="1"/>
        <v>-2.8248587570611772E-4</v>
      </c>
    </row>
    <row r="34" spans="1:31" x14ac:dyDescent="0.25">
      <c r="B34" s="190"/>
      <c r="C34" s="10"/>
      <c r="D34" s="199"/>
      <c r="E34" s="40"/>
      <c r="F34" s="233"/>
      <c r="G34" s="40"/>
      <c r="H34" s="229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59">
        <f t="shared" si="1"/>
        <v>-1.4104372355431272E-3</v>
      </c>
    </row>
    <row r="35" spans="1:31" x14ac:dyDescent="0.25">
      <c r="B35" s="190"/>
      <c r="C35" s="10"/>
      <c r="D35" s="199"/>
      <c r="E35" s="40"/>
      <c r="F35" s="233"/>
      <c r="G35" s="40"/>
      <c r="H35" s="229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59">
        <f t="shared" si="1"/>
        <v>-2.8200789622101485E-4</v>
      </c>
    </row>
    <row r="36" spans="1:31" x14ac:dyDescent="0.25">
      <c r="B36" s="190"/>
      <c r="C36" s="10"/>
      <c r="D36" s="199"/>
      <c r="E36" s="40"/>
      <c r="F36" s="233"/>
      <c r="G36" s="40"/>
      <c r="H36" s="229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59">
        <f t="shared" si="1"/>
        <v>1.0544314619549633E-2</v>
      </c>
    </row>
    <row r="37" spans="1:31" x14ac:dyDescent="0.25">
      <c r="B37" s="73"/>
      <c r="C37" s="4"/>
      <c r="D37" s="581"/>
      <c r="E37" s="3"/>
      <c r="F37" s="3"/>
      <c r="G37" s="3"/>
      <c r="H37" s="230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59">
        <f t="shared" si="1"/>
        <v>-3.1249999999999334E-3</v>
      </c>
    </row>
    <row r="38" spans="1:31" x14ac:dyDescent="0.25">
      <c r="B38" s="73"/>
      <c r="C38" s="4"/>
      <c r="D38" s="581"/>
      <c r="E38" s="3"/>
      <c r="F38" s="3"/>
      <c r="G38" s="3"/>
      <c r="H38" s="230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59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59">
        <f t="shared" si="1"/>
        <v>-3.6973833902160802E-3</v>
      </c>
    </row>
    <row r="40" spans="1:31" ht="20.25" thickBot="1" x14ac:dyDescent="0.35">
      <c r="O40" s="716" t="s">
        <v>78</v>
      </c>
      <c r="P40" s="716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59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48.114000000000004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59">
        <f t="shared" si="1"/>
        <v>9.0574582507783052E-3</v>
      </c>
    </row>
    <row r="42" spans="1:31" ht="20.25" thickBot="1" x14ac:dyDescent="0.35">
      <c r="A42" s="382" t="s">
        <v>1</v>
      </c>
      <c r="B42" s="382" t="s">
        <v>2</v>
      </c>
      <c r="C42" s="382" t="s">
        <v>4</v>
      </c>
      <c r="D42" s="384" t="s">
        <v>5</v>
      </c>
      <c r="E42" s="384" t="s">
        <v>94</v>
      </c>
      <c r="F42" s="384" t="s">
        <v>60</v>
      </c>
      <c r="G42" s="382" t="s">
        <v>3</v>
      </c>
      <c r="H42" s="382" t="s">
        <v>6</v>
      </c>
      <c r="I42" s="384" t="s">
        <v>7</v>
      </c>
      <c r="J42" s="384" t="s">
        <v>95</v>
      </c>
      <c r="K42" s="384" t="s">
        <v>61</v>
      </c>
      <c r="L42" s="382" t="s">
        <v>37</v>
      </c>
      <c r="M42" s="382" t="s">
        <v>38</v>
      </c>
      <c r="O42" s="82">
        <v>1.0900000000000001</v>
      </c>
      <c r="P42" s="82">
        <f t="shared" ref="P42:P61" si="2">O42*$Q$4</f>
        <v>47.676600000000008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59">
        <f t="shared" si="1"/>
        <v>5.9794988610477606E-3</v>
      </c>
    </row>
    <row r="43" spans="1:31" ht="15.75" thickTop="1" x14ac:dyDescent="0.25">
      <c r="A43" s="385" t="s">
        <v>327</v>
      </c>
      <c r="B43" s="375">
        <v>42719</v>
      </c>
      <c r="C43" s="376">
        <v>50</v>
      </c>
      <c r="D43" s="377">
        <v>31.18</v>
      </c>
      <c r="E43" s="377">
        <v>0</v>
      </c>
      <c r="F43" s="377">
        <f>C43*D43+E43</f>
        <v>1559</v>
      </c>
      <c r="G43" s="375">
        <v>42753</v>
      </c>
      <c r="H43" s="376">
        <v>50</v>
      </c>
      <c r="I43" s="377">
        <v>32.92</v>
      </c>
      <c r="J43" s="377">
        <v>0.04</v>
      </c>
      <c r="K43" s="377">
        <f>H43*I43-J43</f>
        <v>1645.96</v>
      </c>
      <c r="L43" s="375">
        <v>42748</v>
      </c>
      <c r="M43" s="376">
        <v>18</v>
      </c>
      <c r="O43" s="82">
        <v>1.08</v>
      </c>
      <c r="P43" s="82">
        <f t="shared" si="2"/>
        <v>47.239200000000004</v>
      </c>
      <c r="Q43" s="2"/>
      <c r="T43" s="126" t="s">
        <v>97</v>
      </c>
      <c r="U43" s="127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59">
        <f t="shared" si="1"/>
        <v>8.3261556129772263E-3</v>
      </c>
    </row>
    <row r="44" spans="1:31" x14ac:dyDescent="0.25">
      <c r="A44" s="386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2">
        <v>50</v>
      </c>
      <c r="I44" s="3">
        <v>34.380000000000003</v>
      </c>
      <c r="J44" s="3">
        <v>0.04</v>
      </c>
      <c r="K44" s="3">
        <f>H44*I44-J44</f>
        <v>1718.9600000000003</v>
      </c>
      <c r="L44" s="376"/>
      <c r="M44" s="376"/>
      <c r="O44" s="82">
        <v>1.07</v>
      </c>
      <c r="P44" s="82">
        <f t="shared" si="2"/>
        <v>46.801800000000007</v>
      </c>
      <c r="Q44" s="2"/>
      <c r="T44" s="92" t="s">
        <v>98</v>
      </c>
      <c r="U44" s="128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59">
        <f t="shared" si="1"/>
        <v>-3.4334763948499214E-3</v>
      </c>
    </row>
    <row r="45" spans="1:31" x14ac:dyDescent="0.25">
      <c r="A45" s="376"/>
      <c r="B45" s="375"/>
      <c r="C45" s="376"/>
      <c r="D45" s="377"/>
      <c r="E45" s="377"/>
      <c r="F45" s="377"/>
      <c r="G45" s="375"/>
      <c r="H45" s="380"/>
      <c r="I45" s="377"/>
      <c r="J45" s="377"/>
      <c r="K45" s="377"/>
      <c r="L45" s="376"/>
      <c r="M45" s="376"/>
      <c r="O45" s="82">
        <v>1.06</v>
      </c>
      <c r="P45" s="82">
        <f t="shared" si="2"/>
        <v>46.364400000000003</v>
      </c>
      <c r="Q45" s="2"/>
      <c r="T45" s="92" t="s">
        <v>99</v>
      </c>
      <c r="U45" s="128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59">
        <f t="shared" si="1"/>
        <v>6.044905008635526E-3</v>
      </c>
    </row>
    <row r="46" spans="1:31" x14ac:dyDescent="0.25">
      <c r="A46" s="376"/>
      <c r="B46" s="375"/>
      <c r="C46" s="376"/>
      <c r="D46" s="377"/>
      <c r="E46" s="377"/>
      <c r="F46" s="377"/>
      <c r="G46" s="375"/>
      <c r="H46" s="380"/>
      <c r="I46" s="377"/>
      <c r="J46" s="377"/>
      <c r="K46" s="377"/>
      <c r="L46" s="376"/>
      <c r="M46" s="376"/>
      <c r="O46" s="82">
        <v>1.05</v>
      </c>
      <c r="P46" s="82">
        <f t="shared" si="2"/>
        <v>45.927000000000007</v>
      </c>
      <c r="Q46" s="2"/>
      <c r="T46" s="92" t="s">
        <v>100</v>
      </c>
      <c r="U46" s="128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59">
        <f t="shared" si="1"/>
        <v>6.0816681146829144E-3</v>
      </c>
    </row>
    <row r="47" spans="1:31" x14ac:dyDescent="0.25">
      <c r="A47" s="376"/>
      <c r="B47" s="375"/>
      <c r="C47" s="376"/>
      <c r="D47" s="377"/>
      <c r="E47" s="377"/>
      <c r="F47" s="377"/>
      <c r="G47" s="375"/>
      <c r="H47" s="380"/>
      <c r="I47" s="377"/>
      <c r="J47" s="377"/>
      <c r="K47" s="377"/>
      <c r="L47" s="376"/>
      <c r="M47" s="376"/>
      <c r="O47" s="82">
        <v>1.04</v>
      </c>
      <c r="P47" s="82">
        <f t="shared" si="2"/>
        <v>45.489600000000003</v>
      </c>
      <c r="Q47" s="2"/>
      <c r="T47" s="92" t="s">
        <v>101</v>
      </c>
      <c r="U47" s="128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59">
        <f t="shared" si="1"/>
        <v>1.1719894520949348E-2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80"/>
      <c r="I48" s="377"/>
      <c r="J48" s="377"/>
      <c r="K48" s="377"/>
      <c r="L48" s="376"/>
      <c r="M48" s="376"/>
      <c r="O48" s="82">
        <v>1.03</v>
      </c>
      <c r="P48" s="82">
        <f t="shared" si="2"/>
        <v>45.052200000000006</v>
      </c>
      <c r="Q48" s="2"/>
      <c r="T48" s="92" t="s">
        <v>102</v>
      </c>
      <c r="U48" s="128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59">
        <f t="shared" si="1"/>
        <v>-5.8258083309057351E-3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80"/>
      <c r="I49" s="377"/>
      <c r="J49" s="377"/>
      <c r="K49" s="377"/>
      <c r="L49" s="376"/>
      <c r="M49" s="376"/>
      <c r="O49" s="82">
        <v>1.02</v>
      </c>
      <c r="P49" s="82">
        <f t="shared" si="2"/>
        <v>44.614800000000002</v>
      </c>
      <c r="Q49" s="2"/>
      <c r="T49" s="92" t="s">
        <v>103</v>
      </c>
      <c r="U49" s="128" t="s">
        <v>631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59">
        <f t="shared" si="1"/>
        <v>-2.9044437990125571E-3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80"/>
      <c r="I50" s="377"/>
      <c r="J50" s="377"/>
      <c r="K50" s="377"/>
      <c r="L50" s="376"/>
      <c r="M50" s="376"/>
      <c r="O50" s="82">
        <v>1.01</v>
      </c>
      <c r="P50" s="82">
        <f t="shared" si="2"/>
        <v>44.177400000000006</v>
      </c>
      <c r="Q50" s="2"/>
      <c r="T50" s="92"/>
      <c r="U50" s="128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59">
        <f t="shared" si="1"/>
        <v>-1.0916403332375868E-2</v>
      </c>
    </row>
    <row r="51" spans="1:31" x14ac:dyDescent="0.25">
      <c r="A51" s="376"/>
      <c r="B51" s="376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</v>
      </c>
      <c r="P51" s="82">
        <f t="shared" si="2"/>
        <v>43.74</v>
      </c>
      <c r="Q51" s="2"/>
      <c r="T51" s="92" t="s">
        <v>104</v>
      </c>
      <c r="U51" s="128" t="s">
        <v>632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59">
        <f t="shared" si="1"/>
        <v>7.5253256150507042E-3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7"/>
      <c r="J52" s="377"/>
      <c r="K52" s="377"/>
      <c r="L52" s="376"/>
      <c r="M52" s="376"/>
      <c r="O52" s="82">
        <v>0.99</v>
      </c>
      <c r="P52" s="82">
        <f t="shared" si="2"/>
        <v>43.302599999999998</v>
      </c>
      <c r="Q52" s="2"/>
      <c r="T52" s="92" t="s">
        <v>105</v>
      </c>
      <c r="U52" s="128" t="s">
        <v>328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59">
        <f t="shared" si="1"/>
        <v>8.7591240875910525E-3</v>
      </c>
    </row>
    <row r="53" spans="1:31" x14ac:dyDescent="0.25">
      <c r="A53" s="376"/>
      <c r="B53" s="376"/>
      <c r="C53" s="376"/>
      <c r="D53" s="377"/>
      <c r="E53" s="377"/>
      <c r="F53" s="377"/>
      <c r="G53" s="376"/>
      <c r="H53" s="376"/>
      <c r="I53" s="377"/>
      <c r="J53" s="377"/>
      <c r="K53" s="377"/>
      <c r="L53" s="376"/>
      <c r="M53" s="376"/>
      <c r="O53" s="82">
        <v>0.98</v>
      </c>
      <c r="P53" s="82">
        <f t="shared" si="2"/>
        <v>42.865200000000002</v>
      </c>
      <c r="Q53" s="2"/>
      <c r="T53" s="92" t="s">
        <v>106</v>
      </c>
      <c r="U53" s="129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59">
        <f t="shared" si="1"/>
        <v>6.4648839259475732E-3</v>
      </c>
    </row>
    <row r="54" spans="1:31" x14ac:dyDescent="0.25">
      <c r="A54" s="376"/>
      <c r="B54" s="376"/>
      <c r="C54" s="376"/>
      <c r="D54" s="377"/>
      <c r="E54" s="377"/>
      <c r="F54" s="377"/>
      <c r="G54" s="376"/>
      <c r="H54" s="376"/>
      <c r="I54" s="377"/>
      <c r="J54" s="377"/>
      <c r="K54" s="377"/>
      <c r="L54" s="376"/>
      <c r="M54" s="376"/>
      <c r="O54" s="82">
        <v>0.97</v>
      </c>
      <c r="P54" s="82">
        <f t="shared" si="2"/>
        <v>42.427799999999998</v>
      </c>
      <c r="T54" s="92" t="s">
        <v>109</v>
      </c>
      <c r="U54" s="129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59">
        <f t="shared" si="1"/>
        <v>5.0206733608979537E-3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76"/>
      <c r="I55" s="377"/>
      <c r="J55" s="377"/>
      <c r="K55" s="377"/>
      <c r="L55" s="376"/>
      <c r="M55" s="376"/>
      <c r="O55" s="82">
        <v>0.96</v>
      </c>
      <c r="P55" s="82">
        <f t="shared" si="2"/>
        <v>41.990400000000001</v>
      </c>
      <c r="T55" s="92" t="s">
        <v>107</v>
      </c>
      <c r="U55" s="128" t="s">
        <v>633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59">
        <f t="shared" si="1"/>
        <v>2.668283808368721E-2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76"/>
      <c r="I56" s="377"/>
      <c r="J56" s="377"/>
      <c r="K56" s="377"/>
      <c r="L56" s="376"/>
      <c r="M56" s="376"/>
      <c r="O56" s="82">
        <v>0.95</v>
      </c>
      <c r="P56" s="82">
        <f t="shared" si="2"/>
        <v>41.552999999999997</v>
      </c>
      <c r="T56" s="92" t="s">
        <v>110</v>
      </c>
      <c r="U56" s="128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59">
        <f t="shared" si="1"/>
        <v>2.3905619372865505E-2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76"/>
      <c r="I57" s="377"/>
      <c r="J57" s="377"/>
      <c r="K57" s="377"/>
      <c r="L57" s="376"/>
      <c r="M57" s="376"/>
      <c r="O57" s="82">
        <v>0.94</v>
      </c>
      <c r="P57" s="82">
        <f t="shared" si="2"/>
        <v>41.115600000000001</v>
      </c>
      <c r="T57" s="92" t="s">
        <v>111</v>
      </c>
      <c r="U57" s="128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59">
        <f t="shared" si="1"/>
        <v>1.8662519440124647E-3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40.678200000000004</v>
      </c>
      <c r="T58" s="92" t="s">
        <v>108</v>
      </c>
      <c r="U58" s="128" t="s">
        <v>540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59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40.2408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59">
        <f t="shared" si="1"/>
        <v>-7.9999999999998961E-3</v>
      </c>
    </row>
    <row r="60" spans="1:31" ht="15.75" thickBot="1" x14ac:dyDescent="0.3">
      <c r="A60" s="465"/>
      <c r="B60" s="466"/>
      <c r="C60" s="467"/>
      <c r="D60" s="467"/>
      <c r="E60" s="467"/>
      <c r="F60" s="468"/>
      <c r="G60" s="467"/>
      <c r="H60" s="467"/>
      <c r="I60" s="467"/>
      <c r="J60" s="467"/>
      <c r="K60" s="468"/>
      <c r="L60" s="467"/>
      <c r="M60" s="588"/>
      <c r="O60" s="82">
        <v>0.91</v>
      </c>
      <c r="P60" s="82">
        <f t="shared" si="2"/>
        <v>39.803400000000003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59">
        <f t="shared" si="1"/>
        <v>3.1746031746031855E-2</v>
      </c>
    </row>
    <row r="61" spans="1:31" x14ac:dyDescent="0.25">
      <c r="O61" s="82">
        <v>0.9</v>
      </c>
      <c r="P61" s="82">
        <f t="shared" si="2"/>
        <v>39.366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59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59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59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59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59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59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59" t="e">
        <f>AC67/#REF!-1</f>
        <v>#REF!</v>
      </c>
    </row>
    <row r="68" spans="1:31" x14ac:dyDescent="0.25">
      <c r="A68" s="4"/>
      <c r="B68" s="426"/>
      <c r="C68" s="426"/>
      <c r="D68" s="582"/>
      <c r="E68" s="582"/>
      <c r="F68" s="582"/>
      <c r="G68" s="426"/>
      <c r="H68" s="426"/>
      <c r="I68" s="582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59" t="e">
        <f>#REF!/AC68-1</f>
        <v>#REF!</v>
      </c>
    </row>
    <row r="69" spans="1:31" x14ac:dyDescent="0.25">
      <c r="A69" s="426"/>
      <c r="B69" s="73"/>
      <c r="C69" s="4"/>
      <c r="D69" s="3"/>
      <c r="E69" s="3"/>
      <c r="F69" s="3"/>
      <c r="G69" s="73"/>
      <c r="H69" s="182"/>
      <c r="I69" s="3"/>
      <c r="J69" s="582"/>
      <c r="K69" s="582"/>
      <c r="L69" s="426"/>
      <c r="M69" s="426"/>
      <c r="N69" s="4"/>
      <c r="AD69" s="40">
        <f>Y68-Z68</f>
        <v>0</v>
      </c>
      <c r="AE69" s="159" t="e">
        <f>AC68/AC69-1</f>
        <v>#DIV/0!</v>
      </c>
    </row>
    <row r="70" spans="1:31" x14ac:dyDescent="0.25">
      <c r="A70" s="583"/>
      <c r="B70" s="73"/>
      <c r="C70" s="4"/>
      <c r="D70" s="3"/>
      <c r="E70" s="3"/>
      <c r="F70" s="3"/>
      <c r="G70" s="73"/>
      <c r="H70" s="182"/>
      <c r="I70" s="3"/>
      <c r="J70" s="3"/>
      <c r="K70" s="3"/>
      <c r="L70" s="4"/>
      <c r="M70" s="4"/>
      <c r="N70" s="4"/>
    </row>
    <row r="71" spans="1:31" x14ac:dyDescent="0.25">
      <c r="A71" s="584"/>
      <c r="B71" s="73"/>
      <c r="C71" s="4"/>
      <c r="D71" s="3"/>
      <c r="E71" s="3"/>
      <c r="F71" s="3"/>
      <c r="G71" s="73"/>
      <c r="H71" s="182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2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2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2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2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2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94" priority="27">
      <formula>F27&gt;0</formula>
    </cfRule>
    <cfRule type="expression" dxfId="119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92" priority="15">
      <formula>Q8&gt;0</formula>
    </cfRule>
    <cfRule type="expression" dxfId="1191" priority="16">
      <formula>Q8&lt;0</formula>
    </cfRule>
  </conditionalFormatting>
  <conditionalFormatting sqref="Q7">
    <cfRule type="expression" dxfId="1190" priority="17">
      <formula>Q7&gt;0</formula>
    </cfRule>
    <cfRule type="expression" dxfId="1189" priority="18">
      <formula>Q7&lt;0</formula>
    </cfRule>
  </conditionalFormatting>
  <conditionalFormatting sqref="F37:F38">
    <cfRule type="expression" dxfId="1188" priority="13">
      <formula>F37&gt;0</formula>
    </cfRule>
    <cfRule type="expression" dxfId="1187" priority="14">
      <formula>F37&lt;0</formula>
    </cfRule>
  </conditionalFormatting>
  <conditionalFormatting sqref="H37:H38">
    <cfRule type="expression" dxfId="1186" priority="11">
      <formula>H37&gt;0</formula>
    </cfRule>
    <cfRule type="expression" dxfId="1185" priority="12">
      <formula>H37&lt;0</formula>
    </cfRule>
  </conditionalFormatting>
  <conditionalFormatting sqref="F23:F26 H23:H26">
    <cfRule type="expression" dxfId="1184" priority="9">
      <formula>F23&gt;0</formula>
    </cfRule>
    <cfRule type="expression" dxfId="1183" priority="10">
      <formula>F23&lt;0</formula>
    </cfRule>
  </conditionalFormatting>
  <conditionalFormatting sqref="Q10">
    <cfRule type="expression" dxfId="1182" priority="3">
      <formula>Q10&gt;0</formula>
    </cfRule>
    <cfRule type="expression" dxfId="1181" priority="4">
      <formula>Q10&lt;0</formula>
    </cfRule>
  </conditionalFormatting>
  <conditionalFormatting sqref="F22 H22">
    <cfRule type="expression" dxfId="1180" priority="1">
      <formula>F22&gt;0</formula>
    </cfRule>
    <cfRule type="expression" dxfId="1179" priority="2">
      <formula>F22&lt;0</formula>
    </cfRule>
  </conditionalFormatting>
  <conditionalFormatting sqref="M41">
    <cfRule type="expression" dxfId="1178" priority="5">
      <formula>M41&gt;0</formula>
    </cfRule>
    <cfRule type="expression" dxfId="11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57.87</v>
      </c>
      <c r="T3" s="1"/>
      <c r="W3" s="131">
        <v>42830</v>
      </c>
      <c r="X3" s="10" t="s">
        <v>342</v>
      </c>
      <c r="Y3" s="10"/>
      <c r="Z3" s="10"/>
      <c r="AA3" s="10"/>
      <c r="AB3" s="94"/>
      <c r="AC3" s="10"/>
      <c r="AD3" s="2">
        <f t="shared" ref="AD3:AD66" si="0">Y3-Z3</f>
        <v>0</v>
      </c>
      <c r="AE3" s="135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M4" s="4"/>
      <c r="O4" s="11" t="s">
        <v>66</v>
      </c>
      <c r="Q4" s="55">
        <v>57.87</v>
      </c>
      <c r="R4" s="497">
        <v>4.3E-3</v>
      </c>
      <c r="T4" s="160"/>
      <c r="U4" s="1"/>
      <c r="W4" s="131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5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5">
        <f t="shared" si="1"/>
        <v>-3.1487312465271478E-3</v>
      </c>
    </row>
    <row r="6" spans="1:31" x14ac:dyDescent="0.25"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5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1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5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5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0</v>
      </c>
      <c r="W9" s="131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5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910.79999999999927</v>
      </c>
      <c r="W10" s="131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5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2.87E-2</v>
      </c>
      <c r="W11" s="131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5">
        <f t="shared" si="1"/>
        <v>2.1672385768467528E-3</v>
      </c>
    </row>
    <row r="12" spans="1:31" x14ac:dyDescent="0.25">
      <c r="H12" s="71"/>
      <c r="W12" s="131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5">
        <f t="shared" si="1"/>
        <v>-1.036639857015198E-2</v>
      </c>
    </row>
    <row r="13" spans="1:31" x14ac:dyDescent="0.25">
      <c r="H13" s="71"/>
      <c r="W13" s="131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5">
        <f t="shared" si="1"/>
        <v>1.157114445850671E-2</v>
      </c>
    </row>
    <row r="14" spans="1:31" x14ac:dyDescent="0.25">
      <c r="H14" s="71"/>
      <c r="W14" s="131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5">
        <f t="shared" si="1"/>
        <v>-1.2321428571428483E-2</v>
      </c>
    </row>
    <row r="15" spans="1:31" x14ac:dyDescent="0.25">
      <c r="H15" s="71"/>
      <c r="W15" s="131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5">
        <f t="shared" si="1"/>
        <v>2.1474588403722628E-3</v>
      </c>
    </row>
    <row r="16" spans="1:31" x14ac:dyDescent="0.25">
      <c r="H16" s="71"/>
      <c r="W16" s="131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5">
        <f t="shared" si="1"/>
        <v>-1.792618629173981E-2</v>
      </c>
    </row>
    <row r="17" spans="1:31" x14ac:dyDescent="0.25">
      <c r="W17" s="131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5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5">
        <f t="shared" si="1"/>
        <v>1.6879886282871182E-2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5">
        <f t="shared" si="1"/>
        <v>-4.2462845010615702E-3</v>
      </c>
    </row>
    <row r="20" spans="1:31" x14ac:dyDescent="0.25">
      <c r="W20" s="131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5">
        <f t="shared" si="1"/>
        <v>-2.3834196891191595E-2</v>
      </c>
    </row>
    <row r="21" spans="1:31" x14ac:dyDescent="0.25">
      <c r="W21" s="131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5">
        <f t="shared" si="1"/>
        <v>5.7321521625846028E-3</v>
      </c>
    </row>
    <row r="22" spans="1:31" x14ac:dyDescent="0.25">
      <c r="W22" s="131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5">
        <f t="shared" si="1"/>
        <v>1.5164873919943478E-2</v>
      </c>
    </row>
    <row r="23" spans="1:31" x14ac:dyDescent="0.25">
      <c r="W23" s="131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5">
        <f t="shared" si="1"/>
        <v>1.4127324749642289E-2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5">
        <f t="shared" si="1"/>
        <v>-1.1315417256011373E-2</v>
      </c>
    </row>
    <row r="25" spans="1:31" x14ac:dyDescent="0.25">
      <c r="A25" s="4"/>
      <c r="B25" s="190"/>
      <c r="C25" s="10"/>
      <c r="D25" s="607"/>
      <c r="E25" s="40"/>
      <c r="F25" s="40"/>
      <c r="G25" s="40"/>
      <c r="H25" s="228"/>
      <c r="I25" s="40"/>
      <c r="W25" s="131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5">
        <f t="shared" si="1"/>
        <v>-5.1011433597185629E-3</v>
      </c>
    </row>
    <row r="26" spans="1:31" x14ac:dyDescent="0.25">
      <c r="A26" s="4"/>
      <c r="B26" s="190"/>
      <c r="C26" s="10"/>
      <c r="D26" s="607"/>
      <c r="E26" s="40"/>
      <c r="F26" s="40"/>
      <c r="G26" s="40"/>
      <c r="H26" s="228"/>
      <c r="I26" s="40"/>
      <c r="W26" s="131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5">
        <f t="shared" si="1"/>
        <v>7.0859167404782042E-3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5">
        <f t="shared" si="1"/>
        <v>-5.6367799894310178E-3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5">
        <f t="shared" si="1"/>
        <v>8.3481349911191938E-3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5">
        <f t="shared" si="1"/>
        <v>2.6714158504006491E-3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5">
        <f t="shared" si="1"/>
        <v>2.1417097983222888E-3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5">
        <f t="shared" si="1"/>
        <v>1.1919812172656696E-2</v>
      </c>
    </row>
    <row r="32" spans="1:31" x14ac:dyDescent="0.25">
      <c r="A32" s="4"/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5">
        <f t="shared" si="1"/>
        <v>7.6433121019108263E-3</v>
      </c>
    </row>
    <row r="33" spans="1:31" x14ac:dyDescent="0.25">
      <c r="A33" s="4"/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5">
        <f t="shared" si="1"/>
        <v>1.0296010296010349E-2</v>
      </c>
    </row>
    <row r="34" spans="1:31" x14ac:dyDescent="0.25">
      <c r="A34" s="4"/>
      <c r="B34" s="190"/>
      <c r="C34" s="10"/>
      <c r="D34" s="607"/>
      <c r="E34" s="40"/>
      <c r="F34" s="40"/>
      <c r="G34" s="40"/>
      <c r="H34" s="228"/>
      <c r="I34" s="40"/>
      <c r="W34" s="131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5">
        <f t="shared" si="1"/>
        <v>3.5055350553505615E-3</v>
      </c>
    </row>
    <row r="35" spans="1:31" x14ac:dyDescent="0.25">
      <c r="A35" s="4"/>
      <c r="B35" s="190"/>
      <c r="C35" s="10"/>
      <c r="D35" s="607"/>
      <c r="E35" s="40"/>
      <c r="F35" s="40"/>
      <c r="G35" s="40"/>
      <c r="H35" s="228"/>
      <c r="I35" s="40"/>
      <c r="W35" s="131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5">
        <f t="shared" si="1"/>
        <v>5.7524587121915438E-3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5">
        <f t="shared" si="1"/>
        <v>-1.3545670876807692E-2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5">
        <f t="shared" si="1"/>
        <v>2.4568642160540222E-2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5">
        <f t="shared" si="1"/>
        <v>3.2133178474641921E-2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5">
        <f t="shared" si="1"/>
        <v>7.4102964118563097E-3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5">
        <f t="shared" si="1"/>
        <v>2.7375831052014465E-3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63.657000000000004</v>
      </c>
      <c r="Q41" s="2"/>
      <c r="W41" s="131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5">
        <f t="shared" si="1"/>
        <v>-9.4906062366841848E-3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63.078299999999999</v>
      </c>
      <c r="Q42" s="2"/>
      <c r="T42" s="90" t="s">
        <v>112</v>
      </c>
      <c r="W42" s="131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5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62.499600000000001</v>
      </c>
      <c r="Q43" s="2"/>
      <c r="T43" s="126" t="s">
        <v>97</v>
      </c>
      <c r="U43" s="127">
        <v>53.75</v>
      </c>
      <c r="V43" s="534"/>
      <c r="W43" s="131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5">
        <f t="shared" si="1"/>
        <v>1.2236037102822062E-2</v>
      </c>
    </row>
    <row r="44" spans="1:31" x14ac:dyDescent="0.25">
      <c r="O44" s="82">
        <v>1.07</v>
      </c>
      <c r="P44" s="82">
        <f t="shared" si="2"/>
        <v>61.920900000000003</v>
      </c>
      <c r="Q44" s="2"/>
      <c r="T44" s="92" t="s">
        <v>98</v>
      </c>
      <c r="U44" s="128">
        <v>53.99</v>
      </c>
      <c r="W44" s="131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5">
        <f t="shared" si="1"/>
        <v>5.1577068042056862E-3</v>
      </c>
    </row>
    <row r="45" spans="1:31" x14ac:dyDescent="0.25">
      <c r="O45" s="82">
        <v>1.06</v>
      </c>
      <c r="P45" s="82">
        <f t="shared" si="2"/>
        <v>61.342199999999998</v>
      </c>
      <c r="Q45" s="2"/>
      <c r="T45" s="92" t="s">
        <v>99</v>
      </c>
      <c r="U45" s="128" t="s">
        <v>128</v>
      </c>
      <c r="W45" s="131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5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60.763500000000001</v>
      </c>
      <c r="Q46" s="2"/>
      <c r="T46" s="92" t="s">
        <v>100</v>
      </c>
      <c r="U46" s="128" t="s">
        <v>128</v>
      </c>
      <c r="W46" s="131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5">
        <f t="shared" si="1"/>
        <v>2.4729204986715825E-2</v>
      </c>
    </row>
    <row r="47" spans="1:31" x14ac:dyDescent="0.25">
      <c r="A47" s="382" t="s">
        <v>1</v>
      </c>
      <c r="B47" s="382" t="s">
        <v>2</v>
      </c>
      <c r="C47" s="382" t="s">
        <v>4</v>
      </c>
      <c r="D47" s="384" t="s">
        <v>5</v>
      </c>
      <c r="E47" s="384" t="s">
        <v>94</v>
      </c>
      <c r="F47" s="384" t="s">
        <v>60</v>
      </c>
      <c r="G47" s="382" t="s">
        <v>3</v>
      </c>
      <c r="H47" s="382" t="s">
        <v>6</v>
      </c>
      <c r="I47" s="384" t="s">
        <v>7</v>
      </c>
      <c r="J47" s="384" t="s">
        <v>95</v>
      </c>
      <c r="K47" s="384" t="s">
        <v>61</v>
      </c>
      <c r="L47" s="382" t="s">
        <v>37</v>
      </c>
      <c r="M47" s="382" t="s">
        <v>38</v>
      </c>
      <c r="O47" s="82">
        <v>1.04</v>
      </c>
      <c r="P47" s="82">
        <f t="shared" si="2"/>
        <v>60.184800000000003</v>
      </c>
      <c r="Q47" s="2"/>
      <c r="T47" s="92" t="s">
        <v>101</v>
      </c>
      <c r="U47" s="128">
        <v>55.41</v>
      </c>
      <c r="W47" s="131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5">
        <f t="shared" si="1"/>
        <v>2.4585125998770607E-3</v>
      </c>
    </row>
    <row r="48" spans="1:31" x14ac:dyDescent="0.25">
      <c r="A48" s="385" t="s">
        <v>309</v>
      </c>
      <c r="B48" s="375">
        <v>42669</v>
      </c>
      <c r="C48" s="376">
        <v>20</v>
      </c>
      <c r="D48" s="377">
        <v>49.18</v>
      </c>
      <c r="E48" s="377">
        <v>0</v>
      </c>
      <c r="F48" s="377">
        <f t="shared" ref="F48:F53" si="3">C48*D48+E48</f>
        <v>983.6</v>
      </c>
      <c r="G48" s="375">
        <v>42710</v>
      </c>
      <c r="H48" s="380">
        <v>20</v>
      </c>
      <c r="I48" s="377">
        <v>55.88</v>
      </c>
      <c r="J48" s="377">
        <v>0.02</v>
      </c>
      <c r="K48" s="377">
        <f>I48*H48-J48</f>
        <v>1117.5800000000002</v>
      </c>
      <c r="L48" s="375"/>
      <c r="M48" s="376"/>
      <c r="O48" s="82">
        <v>1.03</v>
      </c>
      <c r="P48" s="82">
        <f t="shared" si="2"/>
        <v>59.606099999999998</v>
      </c>
      <c r="Q48" s="2"/>
      <c r="T48" s="92" t="s">
        <v>102</v>
      </c>
      <c r="U48" s="128">
        <v>0.95877900000000005</v>
      </c>
      <c r="W48" s="131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5">
        <f t="shared" si="1"/>
        <v>9.722796855606175E-3</v>
      </c>
    </row>
    <row r="49" spans="1:31" x14ac:dyDescent="0.25">
      <c r="A49" s="386" t="s">
        <v>71</v>
      </c>
      <c r="B49" s="375">
        <v>42669</v>
      </c>
      <c r="C49" s="376">
        <v>30</v>
      </c>
      <c r="D49" s="377">
        <v>49.18</v>
      </c>
      <c r="E49" s="377">
        <v>0</v>
      </c>
      <c r="F49" s="377">
        <f t="shared" si="3"/>
        <v>1475.4</v>
      </c>
      <c r="G49" s="375">
        <v>42713</v>
      </c>
      <c r="H49" s="380">
        <v>30</v>
      </c>
      <c r="I49" s="377">
        <v>56.28</v>
      </c>
      <c r="J49" s="377">
        <v>0.04</v>
      </c>
      <c r="K49" s="377">
        <f>I49*H49-J49</f>
        <v>1688.3600000000001</v>
      </c>
      <c r="L49" s="376"/>
      <c r="M49" s="376"/>
      <c r="O49" s="82">
        <v>1.02</v>
      </c>
      <c r="P49" s="82">
        <f t="shared" si="2"/>
        <v>59.0274</v>
      </c>
      <c r="Q49" s="2"/>
      <c r="T49" s="92" t="s">
        <v>103</v>
      </c>
      <c r="U49" s="128" t="s">
        <v>509</v>
      </c>
      <c r="W49" s="131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5">
        <f t="shared" si="1"/>
        <v>1.9831223628692163E-2</v>
      </c>
    </row>
    <row r="50" spans="1:31" x14ac:dyDescent="0.25">
      <c r="A50" s="376"/>
      <c r="B50" s="608">
        <v>42711</v>
      </c>
      <c r="C50" s="609">
        <v>20</v>
      </c>
      <c r="D50" s="610">
        <v>55.06</v>
      </c>
      <c r="E50" s="610">
        <v>0</v>
      </c>
      <c r="F50" s="610">
        <f t="shared" si="3"/>
        <v>1101.2</v>
      </c>
      <c r="G50" s="608">
        <v>42780</v>
      </c>
      <c r="H50" s="611">
        <v>20</v>
      </c>
      <c r="I50" s="610">
        <v>52.48</v>
      </c>
      <c r="J50" s="610">
        <v>0.02</v>
      </c>
      <c r="K50" s="610">
        <f>I50*H50-J50</f>
        <v>1049.58</v>
      </c>
      <c r="L50" s="608">
        <v>42768</v>
      </c>
      <c r="M50" s="610">
        <v>7.8</v>
      </c>
      <c r="O50" s="82">
        <v>1.01</v>
      </c>
      <c r="P50" s="82">
        <f t="shared" si="2"/>
        <v>58.448699999999995</v>
      </c>
      <c r="Q50" s="2"/>
      <c r="T50" s="92"/>
      <c r="U50" s="128"/>
      <c r="W50" s="131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5">
        <f t="shared" si="1"/>
        <v>1.9793459552495785E-2</v>
      </c>
    </row>
    <row r="51" spans="1:31" x14ac:dyDescent="0.25">
      <c r="A51" s="376"/>
      <c r="B51" s="608">
        <v>42755</v>
      </c>
      <c r="C51" s="609">
        <v>20</v>
      </c>
      <c r="D51" s="610">
        <v>51.33</v>
      </c>
      <c r="E51" s="610">
        <v>0</v>
      </c>
      <c r="F51" s="610">
        <f t="shared" si="3"/>
        <v>1026.5999999999999</v>
      </c>
      <c r="G51" s="608">
        <v>42787</v>
      </c>
      <c r="H51" s="611">
        <v>80</v>
      </c>
      <c r="I51" s="610">
        <v>55.58</v>
      </c>
      <c r="J51" s="610">
        <v>0.1</v>
      </c>
      <c r="K51" s="610">
        <f>I51*H51-J51</f>
        <v>4446.2999999999993</v>
      </c>
      <c r="L51" s="376"/>
      <c r="M51" s="376"/>
      <c r="O51" s="82">
        <v>1</v>
      </c>
      <c r="P51" s="82">
        <f t="shared" si="2"/>
        <v>57.87</v>
      </c>
      <c r="Q51" s="2"/>
      <c r="T51" s="92" t="s">
        <v>104</v>
      </c>
      <c r="U51" s="128" t="s">
        <v>634</v>
      </c>
      <c r="W51" s="131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5">
        <f t="shared" si="1"/>
        <v>-5.5092498475299845E-2</v>
      </c>
    </row>
    <row r="52" spans="1:31" x14ac:dyDescent="0.25">
      <c r="A52" s="376"/>
      <c r="B52" s="608">
        <v>42755</v>
      </c>
      <c r="C52" s="609">
        <v>20</v>
      </c>
      <c r="D52" s="610">
        <v>51.44</v>
      </c>
      <c r="E52" s="610">
        <v>0</v>
      </c>
      <c r="F52" s="610">
        <f t="shared" si="3"/>
        <v>1028.8</v>
      </c>
      <c r="G52" s="609"/>
      <c r="H52" s="611"/>
      <c r="I52" s="610"/>
      <c r="J52" s="610"/>
      <c r="K52" s="610"/>
      <c r="L52" s="376"/>
      <c r="M52" s="376"/>
      <c r="O52" s="82">
        <v>0.99</v>
      </c>
      <c r="P52" s="82">
        <f t="shared" si="2"/>
        <v>57.2913</v>
      </c>
      <c r="Q52" s="2"/>
      <c r="T52" s="92" t="s">
        <v>105</v>
      </c>
      <c r="U52" s="128" t="s">
        <v>383</v>
      </c>
      <c r="W52" s="131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5">
        <f t="shared" si="1"/>
        <v>1.1931701296029606E-2</v>
      </c>
    </row>
    <row r="53" spans="1:31" x14ac:dyDescent="0.25">
      <c r="A53" s="376"/>
      <c r="B53" s="608">
        <v>42755</v>
      </c>
      <c r="C53" s="609">
        <v>40</v>
      </c>
      <c r="D53" s="610">
        <v>49.68</v>
      </c>
      <c r="E53" s="610">
        <v>0</v>
      </c>
      <c r="F53" s="610">
        <f t="shared" si="3"/>
        <v>1987.2</v>
      </c>
      <c r="G53" s="609"/>
      <c r="H53" s="611"/>
      <c r="I53" s="610"/>
      <c r="J53" s="610"/>
      <c r="K53" s="610"/>
      <c r="L53" s="376"/>
      <c r="M53" s="376"/>
      <c r="O53" s="82">
        <v>0.98</v>
      </c>
      <c r="P53" s="82">
        <f t="shared" si="2"/>
        <v>56.712599999999995</v>
      </c>
      <c r="Q53" s="2"/>
      <c r="T53" s="92" t="s">
        <v>106</v>
      </c>
      <c r="U53" s="129">
        <v>10095811</v>
      </c>
      <c r="W53" s="131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5">
        <f t="shared" si="1"/>
        <v>-2.0749395648670399E-2</v>
      </c>
    </row>
    <row r="54" spans="1:31" x14ac:dyDescent="0.25">
      <c r="A54" s="376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2">
        <v>20</v>
      </c>
      <c r="I54" s="3">
        <v>57.3</v>
      </c>
      <c r="J54" s="3">
        <v>0.02</v>
      </c>
      <c r="K54" s="3">
        <f>H54*I54-J54</f>
        <v>1145.98</v>
      </c>
      <c r="L54" s="376"/>
      <c r="M54" s="376"/>
      <c r="O54" s="82">
        <v>0.97</v>
      </c>
      <c r="P54" s="82">
        <f t="shared" si="2"/>
        <v>56.133899999999997</v>
      </c>
      <c r="T54" s="92" t="s">
        <v>109</v>
      </c>
      <c r="U54" s="129">
        <v>13460800</v>
      </c>
      <c r="W54" s="131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5">
        <f t="shared" si="1"/>
        <v>1.5548281505728179E-2</v>
      </c>
    </row>
    <row r="55" spans="1:31" x14ac:dyDescent="0.25">
      <c r="A55" s="376"/>
      <c r="B55" s="376"/>
      <c r="C55" s="376"/>
      <c r="D55" s="377"/>
      <c r="E55" s="377"/>
      <c r="F55" s="377"/>
      <c r="G55" s="376"/>
      <c r="H55" s="380"/>
      <c r="I55" s="377"/>
      <c r="J55" s="377"/>
      <c r="K55" s="377"/>
      <c r="L55" s="376"/>
      <c r="M55" s="376"/>
      <c r="O55" s="82">
        <v>0.96</v>
      </c>
      <c r="P55" s="82">
        <f t="shared" si="2"/>
        <v>55.555199999999992</v>
      </c>
      <c r="T55" s="92" t="s">
        <v>107</v>
      </c>
      <c r="U55" s="128" t="s">
        <v>635</v>
      </c>
      <c r="W55" s="131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5">
        <f t="shared" si="1"/>
        <v>-0.1127246324196769</v>
      </c>
    </row>
    <row r="56" spans="1:31" x14ac:dyDescent="0.25">
      <c r="A56" s="376"/>
      <c r="B56" s="376"/>
      <c r="C56" s="376"/>
      <c r="D56" s="377"/>
      <c r="E56" s="377"/>
      <c r="F56" s="377"/>
      <c r="G56" s="376"/>
      <c r="H56" s="380"/>
      <c r="I56" s="377"/>
      <c r="J56" s="377"/>
      <c r="K56" s="377"/>
      <c r="L56" s="376"/>
      <c r="M56" s="376"/>
      <c r="O56" s="82">
        <v>0.95</v>
      </c>
      <c r="P56" s="82">
        <f t="shared" si="2"/>
        <v>54.976499999999994</v>
      </c>
      <c r="T56" s="92" t="s">
        <v>110</v>
      </c>
      <c r="U56" s="128">
        <v>20.03</v>
      </c>
      <c r="W56" s="131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5">
        <f t="shared" si="1"/>
        <v>-1.0418537812106998E-2</v>
      </c>
    </row>
    <row r="57" spans="1:31" x14ac:dyDescent="0.25">
      <c r="A57" s="376"/>
      <c r="B57" s="376"/>
      <c r="C57" s="376"/>
      <c r="D57" s="377"/>
      <c r="E57" s="377"/>
      <c r="F57" s="377"/>
      <c r="G57" s="376"/>
      <c r="H57" s="380"/>
      <c r="I57" s="377"/>
      <c r="J57" s="377"/>
      <c r="K57" s="377"/>
      <c r="L57" s="376"/>
      <c r="M57" s="376"/>
      <c r="O57" s="82">
        <v>0.94</v>
      </c>
      <c r="P57" s="82">
        <f t="shared" si="2"/>
        <v>54.397799999999997</v>
      </c>
      <c r="T57" s="92" t="s">
        <v>111</v>
      </c>
      <c r="U57" s="128">
        <v>2.65</v>
      </c>
      <c r="W57" s="131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5">
        <f t="shared" si="1"/>
        <v>-3.5797386790763497E-3</v>
      </c>
    </row>
    <row r="58" spans="1:31" x14ac:dyDescent="0.25">
      <c r="A58" s="376"/>
      <c r="B58" s="376"/>
      <c r="C58" s="376"/>
      <c r="D58" s="377"/>
      <c r="E58" s="377"/>
      <c r="F58" s="377"/>
      <c r="G58" s="376"/>
      <c r="H58" s="380"/>
      <c r="I58" s="377"/>
      <c r="J58" s="377"/>
      <c r="K58" s="377"/>
      <c r="L58" s="376"/>
      <c r="M58" s="376"/>
      <c r="O58" s="82">
        <v>0.93</v>
      </c>
      <c r="P58" s="82">
        <f t="shared" si="2"/>
        <v>53.819099999999999</v>
      </c>
      <c r="T58" s="92" t="s">
        <v>108</v>
      </c>
      <c r="U58" s="128" t="s">
        <v>578</v>
      </c>
      <c r="W58" s="131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5">
        <f t="shared" si="1"/>
        <v>8.9573629523465037E-4</v>
      </c>
    </row>
    <row r="59" spans="1:31" x14ac:dyDescent="0.25">
      <c r="A59" s="376"/>
      <c r="B59" s="376"/>
      <c r="C59" s="376"/>
      <c r="D59" s="377"/>
      <c r="E59" s="377"/>
      <c r="F59" s="377"/>
      <c r="G59" s="376"/>
      <c r="H59" s="380"/>
      <c r="I59" s="377"/>
      <c r="J59" s="377"/>
      <c r="K59" s="377"/>
      <c r="L59" s="376"/>
      <c r="M59" s="376"/>
      <c r="O59" s="82">
        <v>0.92</v>
      </c>
      <c r="P59" s="82">
        <f t="shared" si="2"/>
        <v>53.240400000000001</v>
      </c>
      <c r="W59" s="131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5">
        <f t="shared" si="1"/>
        <v>-5.7000356252226991E-3</v>
      </c>
    </row>
    <row r="60" spans="1:31" x14ac:dyDescent="0.25">
      <c r="A60" s="376"/>
      <c r="B60" s="376"/>
      <c r="C60" s="376"/>
      <c r="D60" s="377"/>
      <c r="E60" s="377"/>
      <c r="F60" s="377"/>
      <c r="G60" s="376"/>
      <c r="H60" s="380"/>
      <c r="I60" s="377"/>
      <c r="J60" s="377"/>
      <c r="K60" s="377"/>
      <c r="L60" s="376"/>
      <c r="M60" s="376"/>
      <c r="O60" s="82">
        <v>0.91</v>
      </c>
      <c r="P60" s="82">
        <f t="shared" si="2"/>
        <v>52.661699999999996</v>
      </c>
      <c r="W60" s="131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5">
        <f t="shared" si="1"/>
        <v>-4.4334101791098091E-3</v>
      </c>
    </row>
    <row r="61" spans="1:31" x14ac:dyDescent="0.25">
      <c r="A61" s="376"/>
      <c r="B61" s="376"/>
      <c r="C61" s="376"/>
      <c r="D61" s="377"/>
      <c r="E61" s="377"/>
      <c r="F61" s="377"/>
      <c r="G61" s="376"/>
      <c r="H61" s="380"/>
      <c r="I61" s="377"/>
      <c r="J61" s="377"/>
      <c r="K61" s="377"/>
      <c r="L61" s="376"/>
      <c r="M61" s="376"/>
      <c r="O61" s="82">
        <v>0.9</v>
      </c>
      <c r="P61" s="82">
        <f t="shared" si="2"/>
        <v>52.082999999999998</v>
      </c>
      <c r="W61" s="131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5">
        <f t="shared" si="1"/>
        <v>-5.3064651553316522E-2</v>
      </c>
    </row>
    <row r="62" spans="1:31" x14ac:dyDescent="0.25">
      <c r="A62" s="376"/>
      <c r="B62" s="376"/>
      <c r="C62" s="376"/>
      <c r="D62" s="377"/>
      <c r="E62" s="377"/>
      <c r="F62" s="377"/>
      <c r="G62" s="376"/>
      <c r="H62" s="380"/>
      <c r="I62" s="377"/>
      <c r="J62" s="377"/>
      <c r="K62" s="377"/>
      <c r="L62" s="376"/>
      <c r="M62" s="376"/>
      <c r="W62" s="131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5">
        <f t="shared" si="1"/>
        <v>4.2158516020236458E-3</v>
      </c>
    </row>
    <row r="63" spans="1:31" x14ac:dyDescent="0.25">
      <c r="A63" s="376"/>
      <c r="B63" s="376"/>
      <c r="C63" s="376"/>
      <c r="D63" s="377"/>
      <c r="E63" s="377"/>
      <c r="F63" s="377"/>
      <c r="G63" s="376"/>
      <c r="H63" s="376"/>
      <c r="I63" s="377"/>
      <c r="J63" s="377"/>
      <c r="K63" s="377"/>
      <c r="L63" s="376"/>
      <c r="M63" s="376"/>
      <c r="W63" s="131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5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1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5">
        <f t="shared" si="1"/>
        <v>-3.0150753768843908E-3</v>
      </c>
    </row>
    <row r="65" spans="1:31" ht="15.75" thickBot="1" x14ac:dyDescent="0.3">
      <c r="A65" s="465" t="s">
        <v>195</v>
      </c>
      <c r="B65" s="466"/>
      <c r="C65" s="467">
        <f>SumByColor($A$19,C48:C63)</f>
        <v>0</v>
      </c>
      <c r="D65" s="467"/>
      <c r="E65" s="467"/>
      <c r="F65" s="468">
        <f>SumByColor($A$19,F48:F63)</f>
        <v>0</v>
      </c>
      <c r="G65" s="467"/>
      <c r="H65" s="467">
        <f>SumByColor($A$19,H48:H63)</f>
        <v>0</v>
      </c>
      <c r="I65" s="467"/>
      <c r="J65" s="467"/>
      <c r="K65" s="468">
        <f>SumByColor($A$19,K48:K63)</f>
        <v>0</v>
      </c>
      <c r="L65" s="467"/>
      <c r="M65" s="468">
        <f>SumByColor($A$19,M48:M63)</f>
        <v>0</v>
      </c>
      <c r="W65" s="131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5">
        <f t="shared" si="1"/>
        <v>1.6862544711292893E-2</v>
      </c>
    </row>
    <row r="66" spans="1:31" x14ac:dyDescent="0.25">
      <c r="W66" s="131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5" t="e">
        <f t="shared" si="1"/>
        <v>#DIV/0!</v>
      </c>
    </row>
    <row r="67" spans="1:31" x14ac:dyDescent="0.25">
      <c r="W67" s="131">
        <v>42739</v>
      </c>
      <c r="X67" s="10" t="s">
        <v>342</v>
      </c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1:31" x14ac:dyDescent="0.25">
      <c r="W68" s="131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5" t="e">
        <f>#REF!/AC71-1</f>
        <v>#REF!</v>
      </c>
    </row>
    <row r="69" spans="1:31" x14ac:dyDescent="0.25">
      <c r="W69" s="131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5" t="e">
        <f>AC71/AC72-1</f>
        <v>#DIV/0!</v>
      </c>
    </row>
    <row r="70" spans="1:31" x14ac:dyDescent="0.25">
      <c r="B70" s="188" t="s">
        <v>113</v>
      </c>
      <c r="C70" s="188" t="s">
        <v>146</v>
      </c>
      <c r="D70" s="189" t="s">
        <v>145</v>
      </c>
      <c r="E70" s="191" t="s">
        <v>147</v>
      </c>
      <c r="F70" s="191" t="s">
        <v>65</v>
      </c>
      <c r="G70" s="226" t="s">
        <v>151</v>
      </c>
      <c r="H70" s="226" t="s">
        <v>88</v>
      </c>
      <c r="I70" s="226" t="s">
        <v>154</v>
      </c>
      <c r="W70" s="131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4" t="s">
        <v>351</v>
      </c>
      <c r="B71" s="473">
        <v>42754</v>
      </c>
      <c r="C71" s="474">
        <v>20</v>
      </c>
      <c r="D71" s="612">
        <v>55.06</v>
      </c>
      <c r="E71" s="475">
        <v>55.49</v>
      </c>
      <c r="F71" s="475">
        <f t="shared" ref="F71:F78" si="4">C71*(E71-D71)</f>
        <v>8.5999999999999943</v>
      </c>
      <c r="G71" s="475">
        <f t="shared" ref="G71:G78" si="5">D71*C71</f>
        <v>1101.2</v>
      </c>
      <c r="H71" s="613">
        <f t="shared" ref="H71:H78" si="6">(E71-D71)/D71</f>
        <v>7.8096621867054065E-3</v>
      </c>
      <c r="I71" s="475"/>
      <c r="W71" s="131"/>
      <c r="X71" s="10"/>
      <c r="Y71" s="10"/>
      <c r="Z71" s="10"/>
      <c r="AA71" s="10"/>
      <c r="AB71" s="94"/>
      <c r="AC71" s="10"/>
    </row>
    <row r="72" spans="1:31" x14ac:dyDescent="0.25">
      <c r="A72" s="474" t="s">
        <v>363</v>
      </c>
      <c r="B72" s="473">
        <v>42755</v>
      </c>
      <c r="C72" s="474">
        <v>100</v>
      </c>
      <c r="D72" s="612">
        <v>51.438000000000002</v>
      </c>
      <c r="E72" s="475">
        <v>49.23</v>
      </c>
      <c r="F72" s="475">
        <f t="shared" si="4"/>
        <v>-220.80000000000055</v>
      </c>
      <c r="G72" s="475">
        <f t="shared" si="5"/>
        <v>5143.8</v>
      </c>
      <c r="H72" s="613">
        <f t="shared" si="6"/>
        <v>-4.2925463664994855E-2</v>
      </c>
      <c r="I72" s="475">
        <v>50</v>
      </c>
    </row>
    <row r="73" spans="1:31" x14ac:dyDescent="0.25">
      <c r="A73" s="474" t="s">
        <v>380</v>
      </c>
      <c r="B73" s="473">
        <v>42761</v>
      </c>
      <c r="C73" s="474">
        <v>120</v>
      </c>
      <c r="D73" s="612">
        <v>50.715000000000003</v>
      </c>
      <c r="E73" s="475">
        <v>46.82</v>
      </c>
      <c r="F73" s="475">
        <f t="shared" si="4"/>
        <v>-467.40000000000038</v>
      </c>
      <c r="G73" s="475">
        <f t="shared" si="5"/>
        <v>6085.8</v>
      </c>
      <c r="H73" s="613">
        <f t="shared" si="6"/>
        <v>-7.680173518682841E-2</v>
      </c>
      <c r="I73" s="475"/>
    </row>
    <row r="74" spans="1:31" x14ac:dyDescent="0.25">
      <c r="A74" s="474" t="s">
        <v>380</v>
      </c>
      <c r="B74" s="473">
        <v>42764</v>
      </c>
      <c r="C74" s="474">
        <v>120</v>
      </c>
      <c r="D74" s="612">
        <v>50.715000000000003</v>
      </c>
      <c r="E74" s="475">
        <v>47.74</v>
      </c>
      <c r="F74" s="475">
        <f t="shared" si="4"/>
        <v>-357.00000000000017</v>
      </c>
      <c r="G74" s="475">
        <f t="shared" si="5"/>
        <v>6085.8</v>
      </c>
      <c r="H74" s="613">
        <f t="shared" si="6"/>
        <v>-5.866114561766738E-2</v>
      </c>
      <c r="I74" s="475"/>
    </row>
    <row r="75" spans="1:31" x14ac:dyDescent="0.25">
      <c r="A75" s="474" t="s">
        <v>405</v>
      </c>
      <c r="B75" s="473">
        <v>42768</v>
      </c>
      <c r="C75" s="474">
        <v>120</v>
      </c>
      <c r="D75" s="612">
        <v>50.65</v>
      </c>
      <c r="E75" s="475">
        <v>50.5</v>
      </c>
      <c r="F75" s="475">
        <f t="shared" si="4"/>
        <v>-17.999999999999829</v>
      </c>
      <c r="G75" s="475">
        <f t="shared" si="5"/>
        <v>6078</v>
      </c>
      <c r="H75" s="613">
        <f t="shared" si="6"/>
        <v>-2.9615004935833874E-3</v>
      </c>
      <c r="I75" s="475"/>
    </row>
    <row r="76" spans="1:31" x14ac:dyDescent="0.25">
      <c r="A76" s="474" t="s">
        <v>442</v>
      </c>
      <c r="B76" s="473">
        <v>42780</v>
      </c>
      <c r="C76" s="474">
        <v>100</v>
      </c>
      <c r="D76" s="612">
        <v>50.284199999999998</v>
      </c>
      <c r="E76" s="475">
        <v>53.71</v>
      </c>
      <c r="F76" s="475">
        <f t="shared" si="4"/>
        <v>342.58000000000027</v>
      </c>
      <c r="G76" s="475">
        <f t="shared" si="5"/>
        <v>5028.42</v>
      </c>
      <c r="H76" s="613">
        <f t="shared" si="6"/>
        <v>6.8128756150043199E-2</v>
      </c>
      <c r="I76" s="475">
        <v>50</v>
      </c>
    </row>
    <row r="77" spans="1:31" x14ac:dyDescent="0.25">
      <c r="A77" s="657" t="s">
        <v>460</v>
      </c>
      <c r="B77" s="656">
        <v>42787</v>
      </c>
      <c r="C77" s="657">
        <v>20</v>
      </c>
      <c r="D77" s="658">
        <v>47.1</v>
      </c>
      <c r="E77" s="655">
        <v>54.78</v>
      </c>
      <c r="F77" s="655">
        <f t="shared" si="4"/>
        <v>153.6</v>
      </c>
      <c r="G77" s="655">
        <f t="shared" si="5"/>
        <v>942</v>
      </c>
      <c r="H77" s="659">
        <f t="shared" si="6"/>
        <v>0.16305732484076432</v>
      </c>
      <c r="I77" s="655"/>
    </row>
    <row r="78" spans="1:31" x14ac:dyDescent="0.25">
      <c r="A78" s="657" t="s">
        <v>478</v>
      </c>
      <c r="B78" s="656">
        <v>42792</v>
      </c>
      <c r="C78" s="657">
        <v>20</v>
      </c>
      <c r="D78" s="658">
        <v>47.1</v>
      </c>
      <c r="E78" s="655">
        <v>54.78</v>
      </c>
      <c r="F78" s="655">
        <f t="shared" si="4"/>
        <v>153.6</v>
      </c>
      <c r="G78" s="655">
        <f t="shared" si="5"/>
        <v>942</v>
      </c>
      <c r="H78" s="659">
        <f t="shared" si="6"/>
        <v>0.16305732484076432</v>
      </c>
      <c r="I78" s="655"/>
    </row>
    <row r="79" spans="1:31" x14ac:dyDescent="0.25">
      <c r="A79" s="657"/>
      <c r="B79" s="656">
        <v>42796</v>
      </c>
      <c r="C79" s="657">
        <v>0</v>
      </c>
      <c r="D79" s="658"/>
      <c r="E79" s="655"/>
      <c r="F79" s="655">
        <v>203.98</v>
      </c>
      <c r="G79" s="655"/>
      <c r="H79" s="659"/>
      <c r="I79" s="660"/>
    </row>
    <row r="80" spans="1:31" x14ac:dyDescent="0.25">
      <c r="B80" s="190"/>
      <c r="C80" s="10"/>
      <c r="D80" s="607"/>
      <c r="E80" s="40"/>
      <c r="F80" s="40"/>
      <c r="G80" s="40"/>
      <c r="H80" s="228"/>
      <c r="I80" s="40"/>
    </row>
    <row r="81" spans="2:9" x14ac:dyDescent="0.25">
      <c r="B81" s="190"/>
      <c r="C81" s="10"/>
      <c r="D81" s="607"/>
      <c r="E81" s="40"/>
      <c r="F81" s="40"/>
      <c r="G81" s="40"/>
      <c r="H81" s="228"/>
      <c r="I81" s="40"/>
    </row>
    <row r="82" spans="2:9" x14ac:dyDescent="0.25">
      <c r="B82" s="190"/>
      <c r="C82" s="10"/>
      <c r="D82" s="40"/>
      <c r="E82" s="40"/>
      <c r="F82" s="40"/>
      <c r="G82" s="40"/>
      <c r="H82" s="228"/>
      <c r="I82" s="40"/>
    </row>
    <row r="83" spans="2:9" x14ac:dyDescent="0.25">
      <c r="B83" s="190"/>
      <c r="C83" s="10"/>
      <c r="D83" s="40"/>
      <c r="E83" s="40"/>
      <c r="F83" s="40"/>
      <c r="G83" s="40"/>
      <c r="H83" s="228"/>
      <c r="I83" s="40"/>
    </row>
    <row r="84" spans="2:9" x14ac:dyDescent="0.25">
      <c r="B84" s="190"/>
      <c r="C84" s="10"/>
      <c r="D84" s="40"/>
      <c r="E84" s="40"/>
      <c r="F84" s="40"/>
      <c r="G84" s="40"/>
      <c r="H84" s="228"/>
      <c r="I84" s="40"/>
    </row>
    <row r="85" spans="2:9" x14ac:dyDescent="0.25">
      <c r="B85" s="190"/>
      <c r="C85" s="10"/>
      <c r="D85" s="40"/>
      <c r="E85" s="40"/>
      <c r="F85" s="40"/>
      <c r="G85" s="40"/>
      <c r="H85" s="228"/>
      <c r="I85" s="40"/>
    </row>
    <row r="86" spans="2:9" x14ac:dyDescent="0.25">
      <c r="B86" s="190"/>
      <c r="C86" s="10"/>
      <c r="D86" s="40"/>
      <c r="E86" s="40"/>
      <c r="F86" s="40"/>
      <c r="G86" s="40"/>
      <c r="H86" s="228"/>
      <c r="I86" s="40"/>
    </row>
    <row r="87" spans="2:9" x14ac:dyDescent="0.25">
      <c r="B87" s="190"/>
      <c r="C87" s="10"/>
      <c r="D87" s="40"/>
      <c r="E87" s="40"/>
      <c r="F87" s="40"/>
      <c r="G87" s="40"/>
      <c r="H87" s="228"/>
      <c r="I87" s="40"/>
    </row>
    <row r="88" spans="2:9" x14ac:dyDescent="0.25">
      <c r="B88" s="190"/>
      <c r="C88" s="10"/>
      <c r="D88" s="40"/>
      <c r="E88" s="40"/>
      <c r="F88" s="40"/>
      <c r="G88" s="40"/>
      <c r="H88" s="228"/>
      <c r="I88" s="40"/>
    </row>
    <row r="208" spans="21:21" x14ac:dyDescent="0.25">
      <c r="U208" s="232"/>
    </row>
    <row r="209" spans="21:21" x14ac:dyDescent="0.25">
      <c r="U209" s="232"/>
    </row>
    <row r="281" spans="21:21" x14ac:dyDescent="0.25">
      <c r="U281" s="281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76" priority="29">
      <formula>F25&gt;0</formula>
    </cfRule>
    <cfRule type="expression" dxfId="1175" priority="30">
      <formula>F25&lt;0</formula>
    </cfRule>
  </conditionalFormatting>
  <conditionalFormatting sqref="Q7">
    <cfRule type="expression" dxfId="1174" priority="27">
      <formula>Q7&gt;0</formula>
    </cfRule>
    <cfRule type="expression" dxfId="1173" priority="28">
      <formula>Q7&lt;0</formula>
    </cfRule>
  </conditionalFormatting>
  <conditionalFormatting sqref="Q8">
    <cfRule type="expression" dxfId="1172" priority="25">
      <formula>Q8&gt;0</formula>
    </cfRule>
    <cfRule type="expression" dxfId="1171" priority="26">
      <formula>Q8&lt;0</formula>
    </cfRule>
  </conditionalFormatting>
  <conditionalFormatting sqref="Q10">
    <cfRule type="expression" dxfId="1170" priority="13">
      <formula>Q10&gt;0</formula>
    </cfRule>
    <cfRule type="expression" dxfId="1169" priority="14">
      <formula>Q10&lt;0</formula>
    </cfRule>
  </conditionalFormatting>
  <conditionalFormatting sqref="M46">
    <cfRule type="expression" dxfId="1168" priority="11">
      <formula>M46&gt;0</formula>
    </cfRule>
    <cfRule type="expression" dxfId="1167" priority="12">
      <formula>M46&lt;0</formula>
    </cfRule>
  </conditionalFormatting>
  <conditionalFormatting sqref="F80:F88 H80:H88">
    <cfRule type="expression" dxfId="1166" priority="9">
      <formula>F80&gt;0</formula>
    </cfRule>
    <cfRule type="expression" dxfId="1165" priority="10">
      <formula>F80&lt;0</formula>
    </cfRule>
  </conditionalFormatting>
  <conditionalFormatting sqref="F75:F79">
    <cfRule type="expression" dxfId="1164" priority="7">
      <formula>F75&gt;0</formula>
    </cfRule>
    <cfRule type="expression" dxfId="1163" priority="8">
      <formula>F75&lt;0</formula>
    </cfRule>
  </conditionalFormatting>
  <conditionalFormatting sqref="H75:H79">
    <cfRule type="expression" dxfId="1162" priority="5">
      <formula>H75&gt;0</formula>
    </cfRule>
    <cfRule type="expression" dxfId="1161" priority="6">
      <formula>H75&lt;0</formula>
    </cfRule>
  </conditionalFormatting>
  <conditionalFormatting sqref="F71:F74">
    <cfRule type="expression" dxfId="1160" priority="3">
      <formula>F71&gt;0</formula>
    </cfRule>
    <cfRule type="expression" dxfId="1159" priority="4">
      <formula>F71&lt;0</formula>
    </cfRule>
  </conditionalFormatting>
  <conditionalFormatting sqref="H71:H74">
    <cfRule type="expression" dxfId="1158" priority="1">
      <formula>H71&gt;0</formula>
    </cfRule>
    <cfRule type="expression" dxfId="11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253</v>
      </c>
      <c r="B2" s="496">
        <v>42943</v>
      </c>
      <c r="C2" s="4">
        <v>60</v>
      </c>
      <c r="D2" s="3">
        <v>45.4</v>
      </c>
      <c r="E2" s="3">
        <v>0</v>
      </c>
      <c r="F2" s="3">
        <f>C2*D2+E2</f>
        <v>2724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60</v>
      </c>
      <c r="T2" s="1"/>
      <c r="W2" s="131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5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45.4</v>
      </c>
      <c r="T3" s="1"/>
      <c r="W3" s="131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5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46.34</v>
      </c>
      <c r="R4" s="497">
        <v>-1.03E-2</v>
      </c>
      <c r="T4" s="160"/>
      <c r="U4" s="1"/>
      <c r="W4" s="131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5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2780.4</v>
      </c>
      <c r="W5" s="131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5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2724</v>
      </c>
      <c r="W6" s="131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5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149.05000000000018</v>
      </c>
      <c r="R7" s="30">
        <v>42975</v>
      </c>
      <c r="W7" s="131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5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56.400000000000091</v>
      </c>
      <c r="W8" s="131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5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2.0704845814978008E-2</v>
      </c>
      <c r="W9" s="131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5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92.650000000000091</v>
      </c>
      <c r="W10" s="131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5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5">
        <f t="shared" si="1"/>
        <v>-3.1407035175878839E-4</v>
      </c>
    </row>
    <row r="12" spans="1:31" x14ac:dyDescent="0.25">
      <c r="H12" s="71"/>
      <c r="W12" s="131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5">
        <f t="shared" si="1"/>
        <v>1.1596505162827508E-2</v>
      </c>
    </row>
    <row r="13" spans="1:31" x14ac:dyDescent="0.25">
      <c r="H13" s="71"/>
      <c r="W13" s="131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5">
        <f t="shared" si="1"/>
        <v>-2.9448041936478542E-2</v>
      </c>
    </row>
    <row r="14" spans="1:31" x14ac:dyDescent="0.25">
      <c r="H14" s="71"/>
      <c r="W14" s="131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5">
        <f t="shared" si="1"/>
        <v>-2.1538461538461728E-3</v>
      </c>
    </row>
    <row r="15" spans="1:31" x14ac:dyDescent="0.25">
      <c r="H15" s="71"/>
      <c r="W15" s="131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5">
        <f t="shared" si="1"/>
        <v>5.7248955593378614E-3</v>
      </c>
    </row>
    <row r="16" spans="1:31" x14ac:dyDescent="0.25">
      <c r="H16" s="71"/>
      <c r="W16" s="131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5">
        <f t="shared" si="1"/>
        <v>3.7272868457833841E-3</v>
      </c>
    </row>
    <row r="17" spans="1:31" x14ac:dyDescent="0.25">
      <c r="W17" s="131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5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60</v>
      </c>
      <c r="D18" s="18"/>
      <c r="E18" s="18"/>
      <c r="F18" s="18">
        <f>SUM(F2:F6)</f>
        <v>2724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5">
        <f t="shared" si="1"/>
        <v>-1.4862981885740867E-2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5">
        <f t="shared" si="1"/>
        <v>5.7614450327001521E-3</v>
      </c>
    </row>
    <row r="20" spans="1:31" x14ac:dyDescent="0.25">
      <c r="W20" s="131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5">
        <f t="shared" si="1"/>
        <v>3.1152647975063452E-4</v>
      </c>
    </row>
    <row r="21" spans="1:31" x14ac:dyDescent="0.25">
      <c r="W21" s="131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5">
        <f t="shared" si="1"/>
        <v>1.0228166797797034E-2</v>
      </c>
    </row>
    <row r="22" spans="1:31" x14ac:dyDescent="0.25">
      <c r="W22" s="131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5">
        <f t="shared" si="1"/>
        <v>3.949447077409074E-3</v>
      </c>
    </row>
    <row r="23" spans="1:31" x14ac:dyDescent="0.25">
      <c r="W23" s="131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5">
        <f t="shared" si="1"/>
        <v>3.8058991436726863E-3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5">
        <f t="shared" si="1"/>
        <v>-4.7348484848483974E-3</v>
      </c>
    </row>
    <row r="25" spans="1:31" x14ac:dyDescent="0.25">
      <c r="B25" s="190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8">
        <f>(E25-D25)/D25</f>
        <v>1.3436123348017609E-2</v>
      </c>
      <c r="I25" s="40"/>
      <c r="W25" s="131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5">
        <f t="shared" si="1"/>
        <v>-6.740868474682582E-3</v>
      </c>
    </row>
    <row r="26" spans="1:31" x14ac:dyDescent="0.25">
      <c r="B26" s="190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8">
        <f>(E26-D26)/D26</f>
        <v>3.8325991189427359E-2</v>
      </c>
      <c r="I26" s="40"/>
      <c r="W26" s="131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5">
        <f t="shared" si="1"/>
        <v>6.4689176396339754E-3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5">
        <f t="shared" si="1"/>
        <v>1.2460063897763662E-2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5">
        <f t="shared" si="1"/>
        <v>-4.136175628380534E-3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5">
        <f t="shared" si="1"/>
        <v>-1.5905837442342641E-4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5">
        <f t="shared" si="1"/>
        <v>2.7113237639553311E-3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5">
        <f t="shared" si="1"/>
        <v>-4.9198539914298012E-3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5">
        <f t="shared" si="1"/>
        <v>5.9067688378033889E-3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233"/>
      <c r="W33" s="131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5">
        <f t="shared" si="1"/>
        <v>4.8123195380171957E-3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5">
        <f t="shared" si="1"/>
        <v>-2.9576587795765774E-2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5">
        <f t="shared" si="1"/>
        <v>5.3208137715179404E-3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5">
        <f t="shared" si="1"/>
        <v>5.5074744295831035E-3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5">
        <f t="shared" si="1"/>
        <v>-7.8616352201266171E-4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5">
        <f t="shared" si="1"/>
        <v>-5.4730258014074051E-3</v>
      </c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5">
        <f t="shared" si="1"/>
        <v>1.566170712607784E-3</v>
      </c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5">
        <f t="shared" si="1"/>
        <v>4.7206923682141522E-3</v>
      </c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50.974000000000011</v>
      </c>
      <c r="Q41" s="2"/>
      <c r="W41" s="131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5">
        <f t="shared" si="1"/>
        <v>-0.1064398200224973</v>
      </c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50.510600000000011</v>
      </c>
      <c r="Q42" s="2"/>
      <c r="T42" s="90" t="s">
        <v>112</v>
      </c>
      <c r="W42" s="131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5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50.047200000000004</v>
      </c>
      <c r="Q43" s="2"/>
      <c r="T43" s="126" t="s">
        <v>97</v>
      </c>
      <c r="U43" s="127">
        <v>59.3</v>
      </c>
      <c r="W43" s="131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5">
        <f t="shared" si="1"/>
        <v>2.3005032350826848E-3</v>
      </c>
    </row>
    <row r="44" spans="1:31" x14ac:dyDescent="0.25">
      <c r="O44" s="82">
        <v>1.07</v>
      </c>
      <c r="P44" s="82">
        <f t="shared" si="2"/>
        <v>49.583800000000004</v>
      </c>
      <c r="Q44" s="2"/>
      <c r="T44" s="92" t="s">
        <v>98</v>
      </c>
      <c r="U44" s="128">
        <v>59.3</v>
      </c>
      <c r="W44" s="131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5">
        <f t="shared" si="1"/>
        <v>2.161383285302465E-3</v>
      </c>
    </row>
    <row r="45" spans="1:31" x14ac:dyDescent="0.25">
      <c r="O45" s="82">
        <v>1.06</v>
      </c>
      <c r="P45" s="82">
        <f t="shared" si="2"/>
        <v>49.120400000000004</v>
      </c>
      <c r="Q45" s="2"/>
      <c r="T45" s="92" t="s">
        <v>99</v>
      </c>
      <c r="U45" s="128" t="s">
        <v>636</v>
      </c>
      <c r="W45" s="131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5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2"/>
        <v>48.657000000000004</v>
      </c>
      <c r="Q46" s="2"/>
      <c r="T46" s="92" t="s">
        <v>100</v>
      </c>
      <c r="U46" s="128" t="s">
        <v>637</v>
      </c>
      <c r="W46" s="131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5">
        <f t="shared" si="1"/>
        <v>1.6037323224959987E-3</v>
      </c>
    </row>
    <row r="47" spans="1:3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2"/>
        <v>48.193600000000004</v>
      </c>
      <c r="Q47" s="2"/>
      <c r="T47" s="92" t="s">
        <v>101</v>
      </c>
      <c r="U47" s="128">
        <v>72.25</v>
      </c>
      <c r="W47" s="131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5">
        <f t="shared" si="1"/>
        <v>1.150272821117837E-2</v>
      </c>
    </row>
    <row r="48" spans="1:31" x14ac:dyDescent="0.25">
      <c r="A48" s="262" t="s">
        <v>253</v>
      </c>
      <c r="B48" s="263">
        <v>42577</v>
      </c>
      <c r="C48" s="258">
        <v>30</v>
      </c>
      <c r="D48" s="259">
        <v>52</v>
      </c>
      <c r="E48" s="259">
        <v>0</v>
      </c>
      <c r="F48" s="259">
        <f>D48*C48+E48</f>
        <v>1560</v>
      </c>
      <c r="G48" s="263">
        <v>42580</v>
      </c>
      <c r="H48" s="264">
        <v>30</v>
      </c>
      <c r="I48" s="259">
        <v>50.75</v>
      </c>
      <c r="J48" s="259">
        <v>0.03</v>
      </c>
      <c r="K48" s="259">
        <f>H48*I48-J48</f>
        <v>1522.47</v>
      </c>
      <c r="L48" s="263"/>
      <c r="M48" s="258"/>
      <c r="O48" s="82">
        <v>1.03</v>
      </c>
      <c r="P48" s="82">
        <f t="shared" si="2"/>
        <v>47.730200000000004</v>
      </c>
      <c r="Q48" s="2"/>
      <c r="T48" s="92" t="s">
        <v>102</v>
      </c>
      <c r="U48" s="128">
        <v>0.44294099999999997</v>
      </c>
      <c r="W48" s="131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5">
        <f t="shared" si="1"/>
        <v>-2.3539796969250792E-3</v>
      </c>
    </row>
    <row r="49" spans="1:31" x14ac:dyDescent="0.25">
      <c r="A49" s="265" t="s">
        <v>71</v>
      </c>
      <c r="B49" s="263">
        <v>42578</v>
      </c>
      <c r="C49" s="258">
        <v>20</v>
      </c>
      <c r="D49" s="259">
        <v>48.52</v>
      </c>
      <c r="E49" s="259">
        <v>0</v>
      </c>
      <c r="F49" s="259">
        <f>D49*C49+E49</f>
        <v>970.40000000000009</v>
      </c>
      <c r="G49" s="263">
        <v>42611</v>
      </c>
      <c r="H49" s="264">
        <v>20</v>
      </c>
      <c r="I49" s="259">
        <v>55.03</v>
      </c>
      <c r="J49" s="259">
        <v>0.02</v>
      </c>
      <c r="K49" s="259">
        <f>H49*I49-J49</f>
        <v>1100.58</v>
      </c>
      <c r="L49" s="258"/>
      <c r="M49" s="258"/>
      <c r="O49" s="82">
        <v>1.02</v>
      </c>
      <c r="P49" s="82">
        <f t="shared" si="2"/>
        <v>47.266800000000003</v>
      </c>
      <c r="Q49" s="2"/>
      <c r="T49" s="92" t="s">
        <v>121</v>
      </c>
      <c r="U49" s="128" t="s">
        <v>407</v>
      </c>
      <c r="W49" s="131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5">
        <f t="shared" si="1"/>
        <v>2.803186780761191E-3</v>
      </c>
    </row>
    <row r="50" spans="1:3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2"/>
        <v>46.803400000000003</v>
      </c>
      <c r="Q50" s="2"/>
      <c r="T50" s="92"/>
      <c r="U50" s="128"/>
      <c r="W50" s="131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5">
        <f t="shared" si="1"/>
        <v>-1.3822202822639351E-2</v>
      </c>
    </row>
    <row r="51" spans="1:3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2"/>
        <v>46.34</v>
      </c>
      <c r="Q51" s="2"/>
      <c r="T51" s="92" t="s">
        <v>104</v>
      </c>
      <c r="U51" s="128" t="s">
        <v>638</v>
      </c>
      <c r="W51" s="131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5">
        <f t="shared" si="1"/>
        <v>1.4614703277236574E-2</v>
      </c>
    </row>
    <row r="52" spans="1:3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2"/>
        <v>45.876600000000003</v>
      </c>
      <c r="Q52" s="2"/>
      <c r="T52" s="92" t="s">
        <v>105</v>
      </c>
      <c r="U52" s="128" t="s">
        <v>439</v>
      </c>
      <c r="W52" s="131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5">
        <f t="shared" si="1"/>
        <v>-3.3838458143299333E-3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2"/>
        <v>45.413200000000003</v>
      </c>
      <c r="Q53" s="2"/>
      <c r="T53" s="92" t="s">
        <v>106</v>
      </c>
      <c r="U53" s="129">
        <v>1982841</v>
      </c>
      <c r="W53" s="131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5">
        <f t="shared" si="1"/>
        <v>-1.7064352856109966E-2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2"/>
        <v>44.949800000000003</v>
      </c>
      <c r="T54" s="92" t="s">
        <v>109</v>
      </c>
      <c r="U54" s="129">
        <v>2078610</v>
      </c>
      <c r="W54" s="131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5">
        <f t="shared" si="1"/>
        <v>2.4644824586836922E-3</v>
      </c>
    </row>
    <row r="55" spans="1:3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2"/>
        <v>44.486400000000003</v>
      </c>
      <c r="T55" s="92" t="s">
        <v>107</v>
      </c>
      <c r="U55" s="128" t="s">
        <v>639</v>
      </c>
      <c r="W55" s="131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5">
        <f t="shared" si="1"/>
        <v>-8.9080459770113363E-3</v>
      </c>
    </row>
    <row r="56" spans="1:3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2"/>
        <v>44.023000000000003</v>
      </c>
      <c r="T56" s="92" t="s">
        <v>110</v>
      </c>
      <c r="U56" s="128">
        <v>32.85</v>
      </c>
      <c r="W56" s="131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5">
        <f t="shared" si="1"/>
        <v>-2.7224530735063812E-3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2"/>
        <v>43.559600000000003</v>
      </c>
      <c r="T57" s="92" t="s">
        <v>111</v>
      </c>
      <c r="U57" s="128">
        <v>1.79</v>
      </c>
      <c r="W57" s="131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5">
        <f t="shared" si="1"/>
        <v>-3.2847757783488474E-3</v>
      </c>
    </row>
    <row r="58" spans="1:3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2"/>
        <v>43.096200000000003</v>
      </c>
      <c r="T58" s="92" t="s">
        <v>108</v>
      </c>
      <c r="U58" s="128" t="s">
        <v>122</v>
      </c>
      <c r="W58" s="131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5">
        <f t="shared" si="1"/>
        <v>1.2870012870012104E-3</v>
      </c>
    </row>
    <row r="59" spans="1:3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2"/>
        <v>42.632800000000003</v>
      </c>
      <c r="W59" s="131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5">
        <f t="shared" si="1"/>
        <v>-2.7096406160866948E-3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2"/>
        <v>42.169400000000003</v>
      </c>
      <c r="W60" s="131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5">
        <f t="shared" si="1"/>
        <v>-2.2766078542970636E-3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2"/>
        <v>41.706000000000003</v>
      </c>
      <c r="W61" s="131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5">
        <f t="shared" si="1"/>
        <v>4.0000000000000036E-3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5">
        <f t="shared" si="1"/>
        <v>3.0090270812437314E-3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  <c r="W63" s="131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5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1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5">
        <f t="shared" si="1"/>
        <v>1.7854529489243376E-2</v>
      </c>
    </row>
    <row r="65" spans="1:31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  <c r="W65" s="131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5">
        <f t="shared" si="1"/>
        <v>1.1247595086576911E-2</v>
      </c>
    </row>
    <row r="66" spans="1:31" x14ac:dyDescent="0.25">
      <c r="W66" s="131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5">
        <f t="shared" si="1"/>
        <v>1.334733053389292E-2</v>
      </c>
    </row>
    <row r="67" spans="1:31" x14ac:dyDescent="0.25">
      <c r="W67" s="131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B70" s="375">
        <v>42577</v>
      </c>
      <c r="C70" s="376">
        <v>30</v>
      </c>
      <c r="D70" s="377">
        <v>52</v>
      </c>
      <c r="E70" s="377">
        <v>58.09</v>
      </c>
      <c r="F70" s="377">
        <f t="shared" ref="F70:F78" si="3">C70*(E70-D70)</f>
        <v>182.7000000000001</v>
      </c>
      <c r="G70" s="377">
        <f t="shared" ref="G70:G78" si="4">D70*C70</f>
        <v>1560</v>
      </c>
      <c r="H70" s="378">
        <f t="shared" ref="H70:H78" si="5">(E70-D70)/D70</f>
        <v>0.11711538461538468</v>
      </c>
      <c r="I70" s="377" t="s">
        <v>254</v>
      </c>
    </row>
    <row r="71" spans="1:31" x14ac:dyDescent="0.25">
      <c r="B71" s="375">
        <v>42578</v>
      </c>
      <c r="C71" s="376">
        <v>50</v>
      </c>
      <c r="D71" s="377">
        <v>50.607999999999997</v>
      </c>
      <c r="E71" s="377">
        <v>50.51</v>
      </c>
      <c r="F71" s="377">
        <f t="shared" si="3"/>
        <v>-4.8999999999999488</v>
      </c>
      <c r="G71" s="377">
        <f t="shared" si="4"/>
        <v>2530.3999999999996</v>
      </c>
      <c r="H71" s="378">
        <f t="shared" si="5"/>
        <v>-1.9364527347454747E-3</v>
      </c>
      <c r="I71" s="377"/>
    </row>
    <row r="72" spans="1:31" x14ac:dyDescent="0.25">
      <c r="B72" s="375">
        <v>42580</v>
      </c>
      <c r="C72" s="376">
        <v>20</v>
      </c>
      <c r="D72" s="377">
        <v>50.396500000000003</v>
      </c>
      <c r="E72" s="377">
        <v>50.53</v>
      </c>
      <c r="F72" s="377">
        <f t="shared" si="3"/>
        <v>2.6699999999999591</v>
      </c>
      <c r="G72" s="377">
        <f t="shared" si="4"/>
        <v>1007.9300000000001</v>
      </c>
      <c r="H72" s="378">
        <f t="shared" si="5"/>
        <v>2.6489934816901562E-3</v>
      </c>
      <c r="I72" s="377" t="s">
        <v>257</v>
      </c>
    </row>
    <row r="73" spans="1:31" x14ac:dyDescent="0.25">
      <c r="B73" s="375">
        <v>42585</v>
      </c>
      <c r="C73" s="376">
        <v>20</v>
      </c>
      <c r="D73" s="377">
        <v>50.396500000000003</v>
      </c>
      <c r="E73" s="377">
        <v>49.96</v>
      </c>
      <c r="F73" s="377">
        <f t="shared" si="3"/>
        <v>-8.7300000000000466</v>
      </c>
      <c r="G73" s="377">
        <f t="shared" si="4"/>
        <v>1007.9300000000001</v>
      </c>
      <c r="H73" s="378">
        <f t="shared" si="5"/>
        <v>-8.6613157659758567E-3</v>
      </c>
      <c r="I73" s="377"/>
    </row>
    <row r="74" spans="1:31" x14ac:dyDescent="0.25">
      <c r="B74" s="375">
        <v>42593</v>
      </c>
      <c r="C74" s="376">
        <v>20</v>
      </c>
      <c r="D74" s="377">
        <v>50.396500000000003</v>
      </c>
      <c r="E74" s="377">
        <v>52.02</v>
      </c>
      <c r="F74" s="377">
        <f t="shared" si="3"/>
        <v>32.47</v>
      </c>
      <c r="G74" s="377">
        <f t="shared" si="4"/>
        <v>1007.9300000000001</v>
      </c>
      <c r="H74" s="378">
        <f t="shared" si="5"/>
        <v>3.22145387080452E-2</v>
      </c>
      <c r="I74" s="377"/>
    </row>
    <row r="75" spans="1:31" x14ac:dyDescent="0.25">
      <c r="B75" s="375">
        <v>42601</v>
      </c>
      <c r="C75" s="376">
        <v>20</v>
      </c>
      <c r="D75" s="377">
        <v>50.396500000000003</v>
      </c>
      <c r="E75" s="377">
        <v>52.95</v>
      </c>
      <c r="F75" s="377">
        <f t="shared" si="3"/>
        <v>51.069999999999993</v>
      </c>
      <c r="G75" s="377">
        <f t="shared" si="4"/>
        <v>1007.9300000000001</v>
      </c>
      <c r="H75" s="378">
        <f t="shared" si="5"/>
        <v>5.0668201164763414E-2</v>
      </c>
      <c r="I75" s="377"/>
    </row>
    <row r="76" spans="1:31" x14ac:dyDescent="0.25">
      <c r="B76" s="375">
        <v>42605</v>
      </c>
      <c r="C76" s="376">
        <v>20</v>
      </c>
      <c r="D76" s="377">
        <v>50.396500000000003</v>
      </c>
      <c r="E76" s="377">
        <v>53.6</v>
      </c>
      <c r="F76" s="377">
        <f t="shared" si="3"/>
        <v>64.069999999999965</v>
      </c>
      <c r="G76" s="377">
        <f t="shared" si="4"/>
        <v>1007.9300000000001</v>
      </c>
      <c r="H76" s="378">
        <f t="shared" si="5"/>
        <v>6.3565922236663228E-2</v>
      </c>
      <c r="I76" s="377"/>
    </row>
    <row r="77" spans="1:31" x14ac:dyDescent="0.25">
      <c r="B77" s="375">
        <v>42606</v>
      </c>
      <c r="C77" s="376">
        <v>20</v>
      </c>
      <c r="D77" s="377">
        <v>50.396500000000003</v>
      </c>
      <c r="E77" s="377">
        <v>53.98</v>
      </c>
      <c r="F77" s="377">
        <f t="shared" si="3"/>
        <v>71.669999999999874</v>
      </c>
      <c r="G77" s="377">
        <f t="shared" si="4"/>
        <v>1007.9300000000001</v>
      </c>
      <c r="H77" s="378">
        <f t="shared" si="5"/>
        <v>7.1106128401773799E-2</v>
      </c>
      <c r="I77" s="377"/>
    </row>
    <row r="78" spans="1:31" x14ac:dyDescent="0.25">
      <c r="B78" s="375">
        <v>42609</v>
      </c>
      <c r="C78" s="376">
        <v>20</v>
      </c>
      <c r="D78" s="377">
        <v>50.396500000000003</v>
      </c>
      <c r="E78" s="377">
        <v>55.31</v>
      </c>
      <c r="F78" s="377">
        <f t="shared" si="3"/>
        <v>98.269999999999982</v>
      </c>
      <c r="G78" s="377">
        <f t="shared" si="4"/>
        <v>1007.9300000000001</v>
      </c>
      <c r="H78" s="378">
        <f t="shared" si="5"/>
        <v>9.7496849979661265E-2</v>
      </c>
      <c r="I78" s="464"/>
    </row>
    <row r="79" spans="1:31" x14ac:dyDescent="0.25">
      <c r="B79" s="375">
        <v>42611</v>
      </c>
      <c r="C79" s="376">
        <v>0</v>
      </c>
      <c r="D79" s="377"/>
      <c r="E79" s="377"/>
      <c r="F79" s="377">
        <v>92.65</v>
      </c>
      <c r="G79" s="377"/>
      <c r="H79" s="378"/>
      <c r="I79" s="377"/>
    </row>
    <row r="80" spans="1:31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56" priority="17">
      <formula>F34&gt;0</formula>
    </cfRule>
    <cfRule type="expression" dxfId="1155" priority="18">
      <formula>F34&lt;0</formula>
    </cfRule>
  </conditionalFormatting>
  <conditionalFormatting sqref="Q7">
    <cfRule type="expression" dxfId="1154" priority="15">
      <formula>Q7&gt;0</formula>
    </cfRule>
    <cfRule type="expression" dxfId="1153" priority="16">
      <formula>Q7&lt;0</formula>
    </cfRule>
  </conditionalFormatting>
  <conditionalFormatting sqref="Q8">
    <cfRule type="expression" dxfId="1152" priority="13">
      <formula>Q8&gt;0</formula>
    </cfRule>
    <cfRule type="expression" dxfId="1151" priority="14">
      <formula>Q8&lt;0</formula>
    </cfRule>
  </conditionalFormatting>
  <conditionalFormatting sqref="F25:F33">
    <cfRule type="expression" dxfId="1150" priority="11">
      <formula>F25&gt;0</formula>
    </cfRule>
    <cfRule type="expression" dxfId="1149" priority="12">
      <formula>F25&lt;0</formula>
    </cfRule>
  </conditionalFormatting>
  <conditionalFormatting sqref="H25:H33">
    <cfRule type="expression" dxfId="1148" priority="9">
      <formula>H25&gt;0</formula>
    </cfRule>
    <cfRule type="expression" dxfId="1147" priority="10">
      <formula>H25&lt;0</formula>
    </cfRule>
  </conditionalFormatting>
  <conditionalFormatting sqref="M46">
    <cfRule type="expression" dxfId="1146" priority="7">
      <formula>M46&gt;0</formula>
    </cfRule>
    <cfRule type="expression" dxfId="1145" priority="8">
      <formula>M46&lt;0</formula>
    </cfRule>
  </conditionalFormatting>
  <conditionalFormatting sqref="F79:F87 H79:H87">
    <cfRule type="expression" dxfId="1144" priority="5">
      <formula>F79&gt;0</formula>
    </cfRule>
    <cfRule type="expression" dxfId="1143" priority="6">
      <formula>F79&lt;0</formula>
    </cfRule>
  </conditionalFormatting>
  <conditionalFormatting sqref="F70:F78">
    <cfRule type="expression" dxfId="1142" priority="3">
      <formula>F70&gt;0</formula>
    </cfRule>
    <cfRule type="expression" dxfId="1141" priority="4">
      <formula>F70&lt;0</formula>
    </cfRule>
  </conditionalFormatting>
  <conditionalFormatting sqref="H70:H78">
    <cfRule type="expression" dxfId="1140" priority="1">
      <formula>H70&gt;0</formula>
    </cfRule>
    <cfRule type="expression" dxfId="1139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743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24.75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24.75</v>
      </c>
      <c r="R4" s="497">
        <v>7.7000000000000002E-3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31" x14ac:dyDescent="0.25">
      <c r="H10" s="71"/>
      <c r="O10" s="11" t="s">
        <v>210</v>
      </c>
      <c r="P10" s="34"/>
      <c r="Q10" s="2">
        <f>M73</f>
        <v>309.26000000000022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31" x14ac:dyDescent="0.25">
      <c r="H11" s="71"/>
      <c r="O11" s="11" t="s">
        <v>176</v>
      </c>
      <c r="P11" s="34"/>
      <c r="Q11" s="135">
        <v>8.8000000000000005E-3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B25" s="190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8">
        <f t="shared" ref="H25" si="3">(E25-D25)/D25</f>
        <v>4.5380875202593235E-2</v>
      </c>
      <c r="I25" s="40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B26" s="190">
        <v>42874</v>
      </c>
      <c r="C26" s="10"/>
      <c r="D26" s="40"/>
      <c r="E26" s="40"/>
      <c r="F26" s="40">
        <v>303.26</v>
      </c>
      <c r="G26" s="40"/>
      <c r="H26" s="228"/>
      <c r="I26" s="40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27.225000000000001</v>
      </c>
      <c r="Q41" s="2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4">O42*$Q$4</f>
        <v>26.977500000000003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4"/>
        <v>26.73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4"/>
        <v>26.482500000000002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4"/>
        <v>26.235000000000003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4"/>
        <v>25.987500000000001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4"/>
        <v>25.740000000000002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4"/>
        <v>25.4925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4"/>
        <v>25.245000000000001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4"/>
        <v>24.997499999999999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4"/>
        <v>24.75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4"/>
        <v>24.502500000000001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4"/>
        <v>24.254999999999999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4"/>
        <v>24.0075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4"/>
        <v>23.759999999999998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4"/>
        <v>23.512499999999999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4"/>
        <v>23.264999999999997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4"/>
        <v>23.017500000000002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4"/>
        <v>22.77</v>
      </c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4"/>
        <v>22.522500000000001</v>
      </c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4"/>
        <v>22.275000000000002</v>
      </c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1"/>
      <c r="X67" s="10"/>
      <c r="Y67" s="10"/>
      <c r="Z67" s="10"/>
      <c r="AA67" s="10"/>
      <c r="AB67" s="94"/>
      <c r="AC67" s="10"/>
      <c r="AD67" s="2"/>
      <c r="AE67" s="135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1"/>
      <c r="X68" s="10"/>
      <c r="Y68" s="10"/>
      <c r="Z68" s="10"/>
      <c r="AA68" s="10"/>
      <c r="AB68" s="94"/>
      <c r="AC68" s="10"/>
      <c r="AD68" s="2"/>
      <c r="AE68" s="135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1"/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2" t="s">
        <v>1</v>
      </c>
      <c r="B74" s="382" t="s">
        <v>2</v>
      </c>
      <c r="C74" s="382" t="s">
        <v>4</v>
      </c>
      <c r="D74" s="384" t="s">
        <v>5</v>
      </c>
      <c r="E74" s="384" t="s">
        <v>94</v>
      </c>
      <c r="F74" s="384" t="s">
        <v>60</v>
      </c>
      <c r="G74" s="382" t="s">
        <v>3</v>
      </c>
      <c r="H74" s="382" t="s">
        <v>6</v>
      </c>
      <c r="I74" s="384" t="s">
        <v>7</v>
      </c>
      <c r="J74" s="384" t="s">
        <v>95</v>
      </c>
      <c r="K74" s="384" t="s">
        <v>61</v>
      </c>
      <c r="L74" s="382" t="s">
        <v>37</v>
      </c>
      <c r="M74" s="382" t="s">
        <v>38</v>
      </c>
    </row>
    <row r="75" spans="1:31" x14ac:dyDescent="0.25">
      <c r="A75" s="385" t="s">
        <v>743</v>
      </c>
      <c r="B75" s="375">
        <v>42843</v>
      </c>
      <c r="C75" s="376">
        <v>100</v>
      </c>
      <c r="D75" s="377">
        <v>24.68</v>
      </c>
      <c r="E75" s="377">
        <v>0</v>
      </c>
      <c r="F75" s="377">
        <f>C75*D75+E75</f>
        <v>2468</v>
      </c>
      <c r="G75" s="375">
        <v>42874</v>
      </c>
      <c r="H75" s="377">
        <v>100</v>
      </c>
      <c r="I75" s="377">
        <v>27.71</v>
      </c>
      <c r="J75" s="377">
        <v>-0.26</v>
      </c>
      <c r="K75" s="377">
        <f>H75*I75-J75</f>
        <v>2771.26</v>
      </c>
      <c r="L75" s="375">
        <v>42880</v>
      </c>
      <c r="M75" s="377">
        <v>6</v>
      </c>
    </row>
    <row r="76" spans="1:31" x14ac:dyDescent="0.25">
      <c r="A76" s="386" t="s">
        <v>71</v>
      </c>
      <c r="B76" s="375"/>
      <c r="C76" s="376"/>
      <c r="D76" s="377"/>
      <c r="E76" s="377"/>
      <c r="F76" s="377"/>
      <c r="G76" s="375"/>
      <c r="H76" s="380"/>
      <c r="I76" s="377"/>
      <c r="J76" s="377"/>
      <c r="K76" s="377"/>
      <c r="L76" s="375"/>
      <c r="M76" s="377"/>
    </row>
    <row r="77" spans="1:31" x14ac:dyDescent="0.25">
      <c r="A77" s="376"/>
      <c r="B77" s="375"/>
      <c r="C77" s="376"/>
      <c r="D77" s="377"/>
      <c r="E77" s="377"/>
      <c r="F77" s="377"/>
      <c r="G77" s="375"/>
      <c r="H77" s="380"/>
      <c r="I77" s="377"/>
      <c r="J77" s="377"/>
      <c r="K77" s="377"/>
      <c r="L77" s="376"/>
      <c r="M77" s="376"/>
    </row>
    <row r="78" spans="1:31" x14ac:dyDescent="0.25">
      <c r="A78" s="376"/>
      <c r="B78" s="375"/>
      <c r="C78" s="376"/>
      <c r="D78" s="377"/>
      <c r="E78" s="377"/>
      <c r="F78" s="377"/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/>
      <c r="C79" s="376"/>
      <c r="D79" s="377"/>
      <c r="E79" s="377"/>
      <c r="F79" s="377"/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375"/>
      <c r="C80" s="376"/>
      <c r="D80" s="377"/>
      <c r="E80" s="377"/>
      <c r="F80" s="377"/>
      <c r="G80" s="376"/>
      <c r="H80" s="380"/>
      <c r="I80" s="377"/>
      <c r="J80" s="377"/>
      <c r="K80" s="377"/>
      <c r="L80" s="376"/>
      <c r="M80" s="376"/>
    </row>
    <row r="81" spans="1:13" x14ac:dyDescent="0.25">
      <c r="A81" s="376"/>
      <c r="B81" s="376"/>
      <c r="C81" s="376"/>
      <c r="D81" s="377"/>
      <c r="E81" s="377"/>
      <c r="F81" s="377"/>
      <c r="G81" s="376"/>
      <c r="H81" s="380"/>
      <c r="I81" s="377"/>
      <c r="J81" s="377"/>
      <c r="K81" s="377"/>
      <c r="L81" s="376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376"/>
      <c r="B85" s="376"/>
      <c r="C85" s="376"/>
      <c r="D85" s="377"/>
      <c r="E85" s="377"/>
      <c r="F85" s="377"/>
      <c r="G85" s="376"/>
      <c r="H85" s="380"/>
      <c r="I85" s="377"/>
      <c r="J85" s="377"/>
      <c r="K85" s="377"/>
      <c r="L85" s="376"/>
      <c r="M85" s="376"/>
    </row>
    <row r="86" spans="1:13" x14ac:dyDescent="0.25">
      <c r="A86" s="376"/>
      <c r="B86" s="376"/>
      <c r="C86" s="376"/>
      <c r="D86" s="377"/>
      <c r="E86" s="377"/>
      <c r="F86" s="377"/>
      <c r="G86" s="376"/>
      <c r="H86" s="380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80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80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80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138" priority="9">
      <formula>F57&gt;0</formula>
    </cfRule>
    <cfRule type="expression" dxfId="1137" priority="10">
      <formula>F57&lt;0</formula>
    </cfRule>
  </conditionalFormatting>
  <conditionalFormatting sqref="Q7">
    <cfRule type="expression" dxfId="1136" priority="7">
      <formula>Q7&gt;0</formula>
    </cfRule>
    <cfRule type="expression" dxfId="1135" priority="8">
      <formula>Q7&lt;0</formula>
    </cfRule>
  </conditionalFormatting>
  <conditionalFormatting sqref="Q8">
    <cfRule type="expression" dxfId="1134" priority="5">
      <formula>Q8&gt;0</formula>
    </cfRule>
    <cfRule type="expression" dxfId="1133" priority="6">
      <formula>Q8&lt;0</formula>
    </cfRule>
  </conditionalFormatting>
  <conditionalFormatting sqref="F25:F56">
    <cfRule type="expression" dxfId="1132" priority="3">
      <formula>F25&gt;0</formula>
    </cfRule>
    <cfRule type="expression" dxfId="1131" priority="4">
      <formula>F25&lt;0</formula>
    </cfRule>
  </conditionalFormatting>
  <conditionalFormatting sqref="H25:H56">
    <cfRule type="expression" dxfId="1130" priority="1">
      <formula>H25&gt;0</formula>
    </cfRule>
    <cfRule type="expression" dxfId="112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484</v>
      </c>
      <c r="W2" s="131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5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488">
        <f>IF(Q2=0, Q4, (F18-K18-M18)/Q2)</f>
        <v>79.11</v>
      </c>
      <c r="T3" s="1"/>
      <c r="W3" s="131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5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79.11</v>
      </c>
      <c r="R4" s="497">
        <v>-2.3999999999999998E-3</v>
      </c>
      <c r="T4" s="160"/>
      <c r="U4" s="1"/>
      <c r="W4" s="131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5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5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5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1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5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5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5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M58</f>
        <v>197.20999999999549</v>
      </c>
      <c r="W10" s="131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5">
        <f t="shared" si="0"/>
        <v>2.4265644955299148E-3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2.5499999999999998E-2</v>
      </c>
      <c r="W11" s="131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5">
        <f t="shared" si="0"/>
        <v>-2.0392556716798405E-3</v>
      </c>
    </row>
    <row r="12" spans="1:31" x14ac:dyDescent="0.25">
      <c r="H12" s="71"/>
      <c r="W12" s="131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5">
        <f t="shared" si="0"/>
        <v>-1.9081541788577017E-3</v>
      </c>
    </row>
    <row r="13" spans="1:31" x14ac:dyDescent="0.25">
      <c r="H13" s="71"/>
      <c r="W13" s="131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5">
        <f t="shared" si="0"/>
        <v>-2.6642984014209059E-3</v>
      </c>
    </row>
    <row r="14" spans="1:31" x14ac:dyDescent="0.25">
      <c r="H14" s="71"/>
      <c r="W14" s="131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5">
        <f t="shared" si="0"/>
        <v>-7.6064908722117686E-4</v>
      </c>
    </row>
    <row r="15" spans="1:31" x14ac:dyDescent="0.25">
      <c r="H15" s="71"/>
      <c r="W15" s="131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5">
        <f t="shared" si="0"/>
        <v>-8.5470085470086277E-3</v>
      </c>
    </row>
    <row r="16" spans="1:31" x14ac:dyDescent="0.25">
      <c r="H16" s="71"/>
      <c r="W16" s="131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5">
        <f t="shared" si="0"/>
        <v>-2.1321961620469621E-3</v>
      </c>
    </row>
    <row r="17" spans="1:31" x14ac:dyDescent="0.25">
      <c r="W17" s="131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5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5">
        <f t="shared" si="0"/>
        <v>-6.8373943311784702E-3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5">
        <f t="shared" si="0"/>
        <v>4.9751243781082088E-4</v>
      </c>
    </row>
    <row r="20" spans="1:31" x14ac:dyDescent="0.25">
      <c r="W20" s="131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5">
        <f t="shared" si="0"/>
        <v>-3.7174721189591198E-3</v>
      </c>
    </row>
    <row r="21" spans="1:31" x14ac:dyDescent="0.25">
      <c r="W21" s="131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5">
        <f t="shared" si="0"/>
        <v>-4.1954590325765651E-3</v>
      </c>
    </row>
    <row r="22" spans="1:31" x14ac:dyDescent="0.25">
      <c r="W22" s="131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5">
        <f t="shared" si="0"/>
        <v>2.8461824031680294E-3</v>
      </c>
    </row>
    <row r="23" spans="1:31" x14ac:dyDescent="0.25">
      <c r="W23" s="131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5">
        <f t="shared" si="0"/>
        <v>-4.9474335188615104E-4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5">
        <f t="shared" si="0"/>
        <v>-2.0982473463342366E-3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5">
        <f t="shared" si="0"/>
        <v>-4.0565457897971946E-3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5">
        <f t="shared" si="0"/>
        <v>8.0545229244113337E-3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5">
        <f t="shared" si="0"/>
        <v>1.4892032762472418E-3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5">
        <f t="shared" si="0"/>
        <v>-1.0195307701756473E-2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5">
        <f t="shared" si="0"/>
        <v>-8.5910652920972996E-4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5">
        <f t="shared" si="0"/>
        <v>7.6675735839724091E-3</v>
      </c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W31" s="131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5">
        <f t="shared" si="0"/>
        <v>8.7325349301397015E-3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5">
        <f t="shared" si="0"/>
        <v>5.015045135406071E-3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5">
        <f t="shared" si="0"/>
        <v>8.7840381478243579E-4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5">
        <f t="shared" si="0"/>
        <v>3.0207677784770404E-3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5">
        <f t="shared" si="0"/>
        <v>5.037148973681127E-4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5">
        <f t="shared" si="0"/>
        <v>9.4063810855471441E-3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5">
        <f t="shared" si="0"/>
        <v>-3.8119440914863301E-4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5">
        <f t="shared" si="0"/>
        <v>2.1647777919266975E-3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5">
        <f t="shared" si="0"/>
        <v>1.5780623463976129E-2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5">
        <f t="shared" si="0"/>
        <v>3.6349474230819023E-3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87.021000000000001</v>
      </c>
      <c r="Q41" s="2"/>
      <c r="W41" s="131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5">
        <f t="shared" si="0"/>
        <v>8.7742273441593355E-3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1">O42*$Q$4</f>
        <v>86.229900000000001</v>
      </c>
      <c r="Q42" s="2"/>
      <c r="T42" s="90" t="s">
        <v>112</v>
      </c>
      <c r="W42" s="131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5">
        <f t="shared" si="0"/>
        <v>3.8122781648481929E-3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1"/>
        <v>85.438800000000001</v>
      </c>
      <c r="Q43" s="2"/>
      <c r="T43" s="126" t="s">
        <v>97</v>
      </c>
      <c r="U43" s="127">
        <v>77.87</v>
      </c>
      <c r="W43" s="131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5">
        <f t="shared" si="0"/>
        <v>8.0837529817121556E-3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1"/>
        <v>84.6477</v>
      </c>
      <c r="Q44" s="2"/>
      <c r="T44" s="92" t="s">
        <v>98</v>
      </c>
      <c r="U44" s="128">
        <v>77.819999999999993</v>
      </c>
      <c r="W44" s="131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5">
        <f t="shared" si="0"/>
        <v>8.8235294117646745E-3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1"/>
        <v>83.8566</v>
      </c>
      <c r="Q45" s="2"/>
      <c r="T45" s="92" t="s">
        <v>99</v>
      </c>
      <c r="U45" s="128" t="s">
        <v>128</v>
      </c>
      <c r="W45" s="131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5">
        <f t="shared" si="0"/>
        <v>-4.0656662819033018E-2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1"/>
        <v>83.0655</v>
      </c>
      <c r="Q46" s="2"/>
      <c r="T46" s="92" t="s">
        <v>100</v>
      </c>
      <c r="U46" s="128" t="s">
        <v>128</v>
      </c>
      <c r="W46" s="131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5">
        <f t="shared" si="0"/>
        <v>-1.0658545869813518E-2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1"/>
        <v>82.2744</v>
      </c>
      <c r="Q47" s="2"/>
      <c r="T47" s="92" t="s">
        <v>101</v>
      </c>
      <c r="U47" s="128">
        <v>86.36</v>
      </c>
      <c r="W47" s="131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5">
        <f t="shared" si="0"/>
        <v>1.6522623284187521E-3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1"/>
        <v>81.4833</v>
      </c>
      <c r="Q48" s="2"/>
      <c r="T48" s="92" t="s">
        <v>102</v>
      </c>
      <c r="U48" s="128">
        <v>0.61025200000000002</v>
      </c>
      <c r="W48" s="131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5">
        <f t="shared" si="0"/>
        <v>1.1961414790996772E-2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1"/>
        <v>80.6922</v>
      </c>
      <c r="Q49" s="2"/>
      <c r="T49" s="92" t="s">
        <v>103</v>
      </c>
      <c r="U49" s="128" t="s">
        <v>498</v>
      </c>
      <c r="W49" s="131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5">
        <f t="shared" si="0"/>
        <v>-1.991680322702627E-2</v>
      </c>
    </row>
    <row r="50" spans="1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1"/>
        <v>79.9011</v>
      </c>
      <c r="Q50" s="2"/>
      <c r="T50" s="92"/>
      <c r="U50" s="128"/>
      <c r="W50" s="131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5">
        <f t="shared" si="0"/>
        <v>-2.0128318027424763E-3</v>
      </c>
    </row>
    <row r="51" spans="1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1"/>
        <v>79.11</v>
      </c>
      <c r="Q51" s="2"/>
      <c r="T51" s="92" t="s">
        <v>104</v>
      </c>
      <c r="U51" s="128" t="s">
        <v>640</v>
      </c>
      <c r="W51" s="131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5">
        <f t="shared" si="0"/>
        <v>-2.8001956468574285E-2</v>
      </c>
    </row>
    <row r="52" spans="1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1"/>
        <v>78.318899999999999</v>
      </c>
      <c r="Q52" s="2"/>
      <c r="T52" s="92" t="s">
        <v>105</v>
      </c>
      <c r="U52" s="128" t="s">
        <v>317</v>
      </c>
      <c r="W52" s="131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5">
        <f t="shared" si="0"/>
        <v>6.5230769230768537E-3</v>
      </c>
    </row>
    <row r="53" spans="1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1"/>
        <v>77.527799999999999</v>
      </c>
      <c r="Q53" s="2"/>
      <c r="T53" s="92" t="s">
        <v>106</v>
      </c>
      <c r="U53" s="129">
        <v>13351924</v>
      </c>
      <c r="W53" s="131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5">
        <f t="shared" si="0"/>
        <v>-3.8008827856792493E-3</v>
      </c>
    </row>
    <row r="54" spans="1:31" x14ac:dyDescent="0.25">
      <c r="A54" s="4"/>
      <c r="B54" s="190"/>
      <c r="C54" s="10"/>
      <c r="D54" s="40"/>
      <c r="E54" s="40"/>
      <c r="F54" s="40"/>
      <c r="G54" s="40"/>
      <c r="H54" s="228"/>
      <c r="I54" s="40"/>
      <c r="K54" s="3"/>
      <c r="L54" s="4"/>
      <c r="O54" s="82">
        <v>0.97</v>
      </c>
      <c r="P54" s="82">
        <f t="shared" si="1"/>
        <v>76.736699999999999</v>
      </c>
      <c r="T54" s="92" t="s">
        <v>109</v>
      </c>
      <c r="U54" s="129">
        <v>7021070</v>
      </c>
      <c r="W54" s="131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5" t="e">
        <f t="shared" si="0"/>
        <v>#DIV/0!</v>
      </c>
    </row>
    <row r="55" spans="1:31" x14ac:dyDescent="0.25">
      <c r="A55" s="4"/>
      <c r="B55" s="190"/>
      <c r="C55" s="10"/>
      <c r="D55" s="40"/>
      <c r="E55" s="40"/>
      <c r="F55" s="40"/>
      <c r="G55" s="40"/>
      <c r="H55" s="228"/>
      <c r="I55" s="40"/>
      <c r="K55" s="3"/>
      <c r="L55" s="4"/>
      <c r="O55" s="82">
        <v>0.96</v>
      </c>
      <c r="P55" s="82">
        <f t="shared" si="1"/>
        <v>75.945599999999999</v>
      </c>
      <c r="T55" s="92" t="s">
        <v>107</v>
      </c>
      <c r="U55" s="128" t="s">
        <v>641</v>
      </c>
      <c r="W55" s="131">
        <v>42755</v>
      </c>
      <c r="X55" s="10" t="s">
        <v>360</v>
      </c>
      <c r="Y55" s="10"/>
      <c r="Z55" s="10"/>
      <c r="AA55" s="10"/>
      <c r="AB55" s="94"/>
      <c r="AC55" s="10"/>
      <c r="AD55" s="2"/>
      <c r="AE55" s="135">
        <f t="shared" si="0"/>
        <v>-1</v>
      </c>
    </row>
    <row r="56" spans="1:31" x14ac:dyDescent="0.25">
      <c r="A56" s="4"/>
      <c r="B56" s="190"/>
      <c r="C56" s="10"/>
      <c r="D56" s="40"/>
      <c r="E56" s="40"/>
      <c r="F56" s="40"/>
      <c r="G56" s="40"/>
      <c r="H56" s="228"/>
      <c r="I56" s="40"/>
      <c r="K56" s="3"/>
      <c r="L56" s="4"/>
      <c r="O56" s="82">
        <v>0.95</v>
      </c>
      <c r="P56" s="82">
        <f t="shared" si="1"/>
        <v>75.154499999999999</v>
      </c>
      <c r="T56" s="92" t="s">
        <v>110</v>
      </c>
      <c r="U56" s="128">
        <v>15.69</v>
      </c>
      <c r="W56" s="131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5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"/>
        <v>74.363399999999999</v>
      </c>
      <c r="T57" s="92" t="s">
        <v>111</v>
      </c>
      <c r="U57" s="128">
        <v>4.91</v>
      </c>
      <c r="W57" s="131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5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73.572299999999998</v>
      </c>
      <c r="T58" s="92" t="s">
        <v>108</v>
      </c>
      <c r="U58" s="128" t="s">
        <v>559</v>
      </c>
      <c r="W58" s="131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5">
        <f t="shared" si="0"/>
        <v>2.3683887593569874E-2</v>
      </c>
    </row>
    <row r="59" spans="1:31" x14ac:dyDescent="0.25">
      <c r="A59" s="382" t="s">
        <v>1</v>
      </c>
      <c r="B59" s="382" t="s">
        <v>2</v>
      </c>
      <c r="C59" s="382" t="s">
        <v>4</v>
      </c>
      <c r="D59" s="384" t="s">
        <v>5</v>
      </c>
      <c r="E59" s="384" t="s">
        <v>94</v>
      </c>
      <c r="F59" s="384" t="s">
        <v>60</v>
      </c>
      <c r="G59" s="382" t="s">
        <v>3</v>
      </c>
      <c r="H59" s="382" t="s">
        <v>6</v>
      </c>
      <c r="I59" s="384" t="s">
        <v>7</v>
      </c>
      <c r="J59" s="384" t="s">
        <v>95</v>
      </c>
      <c r="K59" s="384" t="s">
        <v>61</v>
      </c>
      <c r="L59" s="382" t="s">
        <v>37</v>
      </c>
      <c r="M59" s="382" t="s">
        <v>38</v>
      </c>
      <c r="O59" s="82">
        <v>0.92</v>
      </c>
      <c r="P59" s="82">
        <f t="shared" si="1"/>
        <v>72.781199999999998</v>
      </c>
      <c r="W59" s="131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5">
        <f t="shared" si="0"/>
        <v>-7.4299634591961095E-3</v>
      </c>
    </row>
    <row r="60" spans="1:31" x14ac:dyDescent="0.25">
      <c r="A60" s="385" t="s">
        <v>283</v>
      </c>
      <c r="B60" s="375">
        <v>42626</v>
      </c>
      <c r="C60" s="376">
        <v>20</v>
      </c>
      <c r="D60" s="377">
        <v>90.85</v>
      </c>
      <c r="E60" s="377">
        <v>0</v>
      </c>
      <c r="F60" s="377">
        <f t="shared" ref="F60:F65" si="2">D60*C60 + E60</f>
        <v>1817</v>
      </c>
      <c r="G60" s="375">
        <v>42762</v>
      </c>
      <c r="H60" s="376">
        <v>40</v>
      </c>
      <c r="I60" s="377">
        <v>77.78</v>
      </c>
      <c r="J60" s="377">
        <v>7.0000000000000007E-2</v>
      </c>
      <c r="K60" s="377">
        <f>I60*H60 - J60</f>
        <v>3111.1299999999997</v>
      </c>
      <c r="L60" s="375">
        <v>42678</v>
      </c>
      <c r="M60" s="377">
        <v>17</v>
      </c>
      <c r="O60" s="82">
        <v>0.91</v>
      </c>
      <c r="P60" s="82">
        <f t="shared" si="1"/>
        <v>71.990099999999998</v>
      </c>
      <c r="W60" s="131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5">
        <f t="shared" si="0"/>
        <v>-2.0663668408897884E-3</v>
      </c>
    </row>
    <row r="61" spans="1:31" x14ac:dyDescent="0.25">
      <c r="A61" s="386" t="s">
        <v>71</v>
      </c>
      <c r="B61" s="375">
        <v>42646</v>
      </c>
      <c r="C61" s="376">
        <v>20</v>
      </c>
      <c r="D61" s="377">
        <v>87.56</v>
      </c>
      <c r="E61" s="377">
        <v>0</v>
      </c>
      <c r="F61" s="377">
        <f t="shared" si="2"/>
        <v>1751.2</v>
      </c>
      <c r="G61" s="375">
        <v>42788</v>
      </c>
      <c r="H61" s="380">
        <v>40</v>
      </c>
      <c r="I61" s="377">
        <v>80.38</v>
      </c>
      <c r="J61" s="377">
        <v>7.0000000000000007E-2</v>
      </c>
      <c r="K61" s="377">
        <f>I61*H61 - J61</f>
        <v>3215.1299999999997</v>
      </c>
      <c r="L61" s="375">
        <v>42769</v>
      </c>
      <c r="M61" s="377">
        <v>40</v>
      </c>
      <c r="O61" s="82">
        <v>0.9</v>
      </c>
      <c r="P61" s="82">
        <f t="shared" si="1"/>
        <v>71.198999999999998</v>
      </c>
      <c r="W61" s="131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5">
        <f t="shared" si="0"/>
        <v>1.2169891687963119E-3</v>
      </c>
    </row>
    <row r="62" spans="1:31" x14ac:dyDescent="0.25">
      <c r="A62" s="376"/>
      <c r="B62" s="375">
        <v>42677</v>
      </c>
      <c r="C62" s="376">
        <v>40</v>
      </c>
      <c r="D62" s="377">
        <v>81.98</v>
      </c>
      <c r="E62" s="377">
        <v>0</v>
      </c>
      <c r="F62" s="377">
        <f t="shared" si="2"/>
        <v>3279.2000000000003</v>
      </c>
      <c r="G62" s="375">
        <v>42796</v>
      </c>
      <c r="H62" s="380">
        <v>80</v>
      </c>
      <c r="I62" s="377">
        <v>81.2</v>
      </c>
      <c r="J62" s="377">
        <v>0.14000000000000001</v>
      </c>
      <c r="K62" s="377">
        <f>I62*H62 - J62</f>
        <v>6495.86</v>
      </c>
      <c r="L62" s="375">
        <v>42856</v>
      </c>
      <c r="M62" s="376">
        <v>30</v>
      </c>
      <c r="W62" s="131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5">
        <f t="shared" si="0"/>
        <v>1.1821204285186626E-2</v>
      </c>
    </row>
    <row r="63" spans="1:31" x14ac:dyDescent="0.25">
      <c r="A63" s="376"/>
      <c r="B63" s="375">
        <v>42760</v>
      </c>
      <c r="C63" s="376">
        <v>20</v>
      </c>
      <c r="D63" s="377">
        <v>80.28</v>
      </c>
      <c r="E63" s="377">
        <v>0</v>
      </c>
      <c r="F63" s="377">
        <f t="shared" si="2"/>
        <v>1605.6</v>
      </c>
      <c r="G63" s="375">
        <v>42850</v>
      </c>
      <c r="H63" s="380">
        <v>60</v>
      </c>
      <c r="I63" s="377">
        <v>81.98</v>
      </c>
      <c r="J63" s="377">
        <v>0.11</v>
      </c>
      <c r="K63" s="377">
        <f>I63*H63 - J63</f>
        <v>4918.6900000000005</v>
      </c>
      <c r="L63" s="376"/>
      <c r="M63" s="376"/>
      <c r="W63" s="131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5">
        <f t="shared" si="0"/>
        <v>-6.1192020560518756E-3</v>
      </c>
    </row>
    <row r="64" spans="1:31" x14ac:dyDescent="0.25">
      <c r="A64" s="376"/>
      <c r="B64" s="375">
        <v>42762</v>
      </c>
      <c r="C64" s="376">
        <v>80</v>
      </c>
      <c r="D64" s="377">
        <v>77.180000000000007</v>
      </c>
      <c r="E64" s="377">
        <v>0</v>
      </c>
      <c r="F64" s="377">
        <f t="shared" si="2"/>
        <v>6174.4000000000005</v>
      </c>
      <c r="G64" s="376"/>
      <c r="H64" s="380"/>
      <c r="I64" s="377"/>
      <c r="J64" s="377"/>
      <c r="K64" s="377"/>
      <c r="L64" s="376"/>
      <c r="M64" s="376"/>
      <c r="W64" s="131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5">
        <f t="shared" si="0"/>
        <v>9.6379587297663605E-3</v>
      </c>
    </row>
    <row r="65" spans="1:31" x14ac:dyDescent="0.25">
      <c r="A65" s="376"/>
      <c r="B65" s="375">
        <v>42768</v>
      </c>
      <c r="C65" s="376">
        <v>40</v>
      </c>
      <c r="D65" s="377">
        <v>75.08</v>
      </c>
      <c r="E65" s="377">
        <v>0</v>
      </c>
      <c r="F65" s="377">
        <f t="shared" si="2"/>
        <v>3003.2</v>
      </c>
      <c r="G65" s="376"/>
      <c r="H65" s="380"/>
      <c r="I65" s="377"/>
      <c r="J65" s="377"/>
      <c r="K65" s="377"/>
      <c r="L65" s="376"/>
      <c r="M65" s="376"/>
      <c r="W65" s="131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5">
        <f t="shared" si="0"/>
        <v>2.0941087422732485E-2</v>
      </c>
    </row>
    <row r="66" spans="1:31" x14ac:dyDescent="0.25">
      <c r="A66" s="376"/>
      <c r="B66" s="376"/>
      <c r="C66" s="376"/>
      <c r="D66" s="377"/>
      <c r="E66" s="377"/>
      <c r="F66" s="377"/>
      <c r="G66" s="376"/>
      <c r="H66" s="380"/>
      <c r="I66" s="377"/>
      <c r="J66" s="377"/>
      <c r="K66" s="377"/>
      <c r="L66" s="376"/>
      <c r="M66" s="376"/>
      <c r="W66" s="131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5">
        <f t="shared" si="0"/>
        <v>-7.5122073369225939E-3</v>
      </c>
    </row>
    <row r="67" spans="1:31" x14ac:dyDescent="0.25">
      <c r="A67" s="376"/>
      <c r="B67" s="376"/>
      <c r="C67" s="376"/>
      <c r="D67" s="377"/>
      <c r="E67" s="377"/>
      <c r="F67" s="377"/>
      <c r="G67" s="376"/>
      <c r="H67" s="380"/>
      <c r="I67" s="377"/>
      <c r="J67" s="377"/>
      <c r="K67" s="377"/>
      <c r="L67" s="376"/>
      <c r="M67" s="376"/>
      <c r="W67" s="131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5" t="e">
        <f>AC67/#REF!-1</f>
        <v>#REF!</v>
      </c>
    </row>
    <row r="68" spans="1:31" x14ac:dyDescent="0.25">
      <c r="A68" s="376"/>
      <c r="B68" s="376"/>
      <c r="C68" s="376"/>
      <c r="D68" s="377"/>
      <c r="E68" s="377"/>
      <c r="F68" s="377"/>
      <c r="G68" s="376"/>
      <c r="H68" s="380"/>
      <c r="I68" s="377"/>
      <c r="J68" s="377"/>
      <c r="K68" s="377"/>
      <c r="L68" s="376"/>
      <c r="M68" s="376"/>
      <c r="W68" s="131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5" t="e">
        <f>#REF!/AC69-1</f>
        <v>#REF!</v>
      </c>
    </row>
    <row r="69" spans="1:31" x14ac:dyDescent="0.25">
      <c r="A69" s="376"/>
      <c r="B69" s="376"/>
      <c r="C69" s="376"/>
      <c r="D69" s="377"/>
      <c r="E69" s="377"/>
      <c r="F69" s="377"/>
      <c r="G69" s="376"/>
      <c r="H69" s="380"/>
      <c r="I69" s="377"/>
      <c r="J69" s="377"/>
      <c r="K69" s="377"/>
      <c r="L69" s="376"/>
      <c r="M69" s="376"/>
      <c r="W69" s="131" t="s">
        <v>120</v>
      </c>
      <c r="X69" s="10"/>
      <c r="Y69" s="10"/>
      <c r="Z69" s="10"/>
      <c r="AA69" s="10"/>
      <c r="AB69" s="94"/>
      <c r="AC69" s="10"/>
      <c r="AD69" s="2"/>
      <c r="AE69" s="135" t="e">
        <f>AC69/AC70-1</f>
        <v>#DIV/0!</v>
      </c>
    </row>
    <row r="70" spans="1:31" x14ac:dyDescent="0.25">
      <c r="A70" s="376"/>
      <c r="B70" s="376"/>
      <c r="C70" s="376"/>
      <c r="D70" s="377"/>
      <c r="E70" s="377"/>
      <c r="F70" s="377"/>
      <c r="G70" s="376"/>
      <c r="H70" s="380"/>
      <c r="I70" s="377"/>
      <c r="J70" s="377"/>
      <c r="K70" s="377"/>
      <c r="L70" s="376"/>
      <c r="M70" s="376"/>
    </row>
    <row r="71" spans="1:31" x14ac:dyDescent="0.25">
      <c r="A71" s="376"/>
      <c r="B71" s="376"/>
      <c r="C71" s="376"/>
      <c r="D71" s="377"/>
      <c r="E71" s="377"/>
      <c r="F71" s="377"/>
      <c r="G71" s="376"/>
      <c r="H71" s="380"/>
      <c r="I71" s="377"/>
      <c r="J71" s="377"/>
      <c r="K71" s="377"/>
      <c r="L71" s="376"/>
      <c r="M71" s="376"/>
    </row>
    <row r="72" spans="1:31" x14ac:dyDescent="0.25">
      <c r="A72" s="376"/>
      <c r="B72" s="376"/>
      <c r="C72" s="376"/>
      <c r="D72" s="377"/>
      <c r="E72" s="377"/>
      <c r="F72" s="377"/>
      <c r="G72" s="376"/>
      <c r="H72" s="380"/>
      <c r="I72" s="377"/>
      <c r="J72" s="377"/>
      <c r="K72" s="377"/>
      <c r="L72" s="376"/>
      <c r="M72" s="376"/>
    </row>
    <row r="73" spans="1:31" x14ac:dyDescent="0.25">
      <c r="A73" s="376"/>
      <c r="B73" s="376"/>
      <c r="C73" s="376"/>
      <c r="D73" s="377"/>
      <c r="E73" s="377"/>
      <c r="F73" s="377"/>
      <c r="G73" s="376"/>
      <c r="H73" s="380"/>
      <c r="I73" s="377"/>
      <c r="J73" s="377"/>
      <c r="K73" s="377"/>
      <c r="L73" s="376"/>
      <c r="M73" s="376"/>
    </row>
    <row r="74" spans="1:31" x14ac:dyDescent="0.25">
      <c r="A74" s="376"/>
      <c r="B74" s="376"/>
      <c r="C74" s="376"/>
      <c r="D74" s="377"/>
      <c r="E74" s="377"/>
      <c r="F74" s="377"/>
      <c r="G74" s="376"/>
      <c r="H74" s="380"/>
      <c r="I74" s="377"/>
      <c r="J74" s="377"/>
      <c r="K74" s="377"/>
      <c r="L74" s="376"/>
      <c r="M74" s="376"/>
    </row>
    <row r="75" spans="1:31" x14ac:dyDescent="0.25">
      <c r="A75" s="376"/>
      <c r="B75" s="376"/>
      <c r="C75" s="376"/>
      <c r="D75" s="377"/>
      <c r="E75" s="377"/>
      <c r="F75" s="377"/>
      <c r="G75" s="376"/>
      <c r="H75" s="376"/>
      <c r="I75" s="377"/>
      <c r="J75" s="377"/>
      <c r="K75" s="377"/>
      <c r="L75" s="376"/>
      <c r="M75" s="376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5" t="s">
        <v>195</v>
      </c>
      <c r="B77" s="466"/>
      <c r="C77" s="467">
        <f>SumByColor($A$19,C60:C75)</f>
        <v>0</v>
      </c>
      <c r="D77" s="467"/>
      <c r="E77" s="467"/>
      <c r="F77" s="468">
        <f>SumByColor($A$19,F60:F75)</f>
        <v>0</v>
      </c>
      <c r="G77" s="467"/>
      <c r="H77" s="467">
        <f>SumByColor($A$19,H60:H75)</f>
        <v>0</v>
      </c>
      <c r="I77" s="467"/>
      <c r="J77" s="467"/>
      <c r="K77" s="468">
        <f>SumByColor($A$19,K60:K75)</f>
        <v>0</v>
      </c>
      <c r="L77" s="467"/>
      <c r="M77" s="468">
        <f>SumByColor($A$19,M60:M75)</f>
        <v>0</v>
      </c>
    </row>
    <row r="78" spans="1:31" x14ac:dyDescent="0.25">
      <c r="A78" s="376"/>
      <c r="B78" s="376"/>
      <c r="C78" s="376"/>
      <c r="D78" s="377"/>
      <c r="E78" s="377"/>
      <c r="F78" s="377"/>
      <c r="G78" s="376"/>
      <c r="H78" s="376"/>
      <c r="I78" s="377"/>
      <c r="J78" s="377"/>
      <c r="K78" s="377"/>
      <c r="L78" s="376"/>
      <c r="M78" s="376"/>
    </row>
    <row r="82" spans="1:12" x14ac:dyDescent="0.25">
      <c r="A82" s="376"/>
      <c r="B82" s="376"/>
      <c r="C82" s="376"/>
      <c r="D82" s="377"/>
      <c r="E82" s="377"/>
      <c r="F82" s="377"/>
      <c r="G82" s="376"/>
      <c r="H82" s="376"/>
      <c r="I82" s="377"/>
      <c r="J82" s="377"/>
      <c r="K82" s="377"/>
      <c r="L82" s="376"/>
    </row>
    <row r="83" spans="1:12" x14ac:dyDescent="0.25">
      <c r="A83" s="376"/>
      <c r="B83" s="508" t="s">
        <v>113</v>
      </c>
      <c r="C83" s="508" t="s">
        <v>146</v>
      </c>
      <c r="D83" s="509" t="s">
        <v>145</v>
      </c>
      <c r="E83" s="510" t="s">
        <v>147</v>
      </c>
      <c r="F83" s="510" t="s">
        <v>65</v>
      </c>
      <c r="G83" s="512" t="s">
        <v>151</v>
      </c>
      <c r="H83" s="512" t="s">
        <v>88</v>
      </c>
      <c r="I83" s="512" t="s">
        <v>154</v>
      </c>
      <c r="J83" s="377"/>
      <c r="K83" s="377"/>
      <c r="L83" s="376"/>
    </row>
    <row r="84" spans="1:12" x14ac:dyDescent="0.25">
      <c r="A84" s="376"/>
      <c r="B84" s="375">
        <v>42626</v>
      </c>
      <c r="C84" s="376">
        <v>20</v>
      </c>
      <c r="D84" s="377">
        <v>90.85</v>
      </c>
      <c r="E84" s="377">
        <v>90.93</v>
      </c>
      <c r="F84" s="377">
        <f t="shared" ref="F84:F107" si="3">C84*(E84-D84)</f>
        <v>1.6000000000002501</v>
      </c>
      <c r="G84" s="377">
        <f t="shared" ref="G84:G107" si="4">D84*C84</f>
        <v>1817</v>
      </c>
      <c r="H84" s="378">
        <f t="shared" ref="H84:H107" si="5">(E84-D84)/D84</f>
        <v>8.8057237204196487E-4</v>
      </c>
      <c r="I84" s="377"/>
      <c r="J84" s="377"/>
      <c r="K84" s="377"/>
      <c r="L84" s="376"/>
    </row>
    <row r="85" spans="1:12" x14ac:dyDescent="0.25">
      <c r="A85" s="376"/>
      <c r="B85" s="375">
        <v>42627</v>
      </c>
      <c r="C85" s="376">
        <v>20</v>
      </c>
      <c r="D85" s="377">
        <v>90.85</v>
      </c>
      <c r="E85" s="377">
        <v>89.44</v>
      </c>
      <c r="F85" s="377">
        <f t="shared" si="3"/>
        <v>-28.199999999999932</v>
      </c>
      <c r="G85" s="377">
        <f t="shared" si="4"/>
        <v>1817</v>
      </c>
      <c r="H85" s="378">
        <f t="shared" si="5"/>
        <v>-1.5520088057237168E-2</v>
      </c>
      <c r="I85" s="377"/>
      <c r="J85" s="377"/>
      <c r="K85" s="377"/>
      <c r="L85" s="376"/>
    </row>
    <row r="86" spans="1:12" x14ac:dyDescent="0.25">
      <c r="A86" s="376"/>
      <c r="B86" s="375">
        <v>42640</v>
      </c>
      <c r="C86" s="376">
        <v>20</v>
      </c>
      <c r="D86" s="377">
        <v>90.85</v>
      </c>
      <c r="E86" s="377">
        <v>90.56</v>
      </c>
      <c r="F86" s="377">
        <f t="shared" si="3"/>
        <v>-5.7999999999998408</v>
      </c>
      <c r="G86" s="377">
        <f t="shared" si="4"/>
        <v>1817</v>
      </c>
      <c r="H86" s="378">
        <f t="shared" si="5"/>
        <v>-3.1920748486515362E-3</v>
      </c>
      <c r="I86" s="377"/>
      <c r="J86" s="377"/>
      <c r="K86" s="377"/>
      <c r="L86" s="376"/>
    </row>
    <row r="87" spans="1:12" x14ac:dyDescent="0.25">
      <c r="A87" s="376"/>
      <c r="B87" s="375">
        <v>42646</v>
      </c>
      <c r="C87" s="376">
        <v>40</v>
      </c>
      <c r="D87" s="377">
        <v>89.204999999999998</v>
      </c>
      <c r="E87" s="377">
        <v>87.09</v>
      </c>
      <c r="F87" s="377">
        <f t="shared" si="3"/>
        <v>-84.599999999999795</v>
      </c>
      <c r="G87" s="377">
        <f t="shared" si="4"/>
        <v>3568.2</v>
      </c>
      <c r="H87" s="378">
        <f t="shared" si="5"/>
        <v>-2.3709433327728211E-2</v>
      </c>
      <c r="I87" s="377"/>
      <c r="J87" s="377"/>
      <c r="K87" s="377"/>
      <c r="L87" s="376"/>
    </row>
    <row r="88" spans="1:12" x14ac:dyDescent="0.25">
      <c r="A88" s="376"/>
      <c r="B88" s="375">
        <v>42651</v>
      </c>
      <c r="C88" s="376">
        <v>40</v>
      </c>
      <c r="D88" s="377">
        <v>89.204999999999998</v>
      </c>
      <c r="E88" s="377">
        <v>86.4</v>
      </c>
      <c r="F88" s="377">
        <f t="shared" si="3"/>
        <v>-112.1999999999997</v>
      </c>
      <c r="G88" s="377">
        <f t="shared" si="4"/>
        <v>3568.2</v>
      </c>
      <c r="H88" s="378">
        <f t="shared" si="5"/>
        <v>-3.1444425760887761E-2</v>
      </c>
      <c r="I88" s="377"/>
      <c r="J88" s="377"/>
      <c r="K88" s="377"/>
      <c r="L88" s="376"/>
    </row>
    <row r="89" spans="1:12" x14ac:dyDescent="0.25">
      <c r="A89" s="376"/>
      <c r="B89" s="375">
        <v>42674</v>
      </c>
      <c r="C89" s="376">
        <v>40</v>
      </c>
      <c r="D89" s="377">
        <v>89.204999999999998</v>
      </c>
      <c r="E89" s="377">
        <v>84.1</v>
      </c>
      <c r="F89" s="377">
        <f t="shared" si="3"/>
        <v>-204.20000000000016</v>
      </c>
      <c r="G89" s="377">
        <f t="shared" si="4"/>
        <v>3568.2</v>
      </c>
      <c r="H89" s="378">
        <f t="shared" si="5"/>
        <v>-5.7227733871419807E-2</v>
      </c>
      <c r="I89" s="377"/>
      <c r="J89" s="377"/>
      <c r="K89" s="377"/>
      <c r="L89" s="376"/>
    </row>
    <row r="90" spans="1:12" x14ac:dyDescent="0.25">
      <c r="A90" s="376"/>
      <c r="B90" s="375">
        <v>42677</v>
      </c>
      <c r="C90" s="376">
        <v>80</v>
      </c>
      <c r="D90" s="377">
        <v>85.38</v>
      </c>
      <c r="E90" s="377">
        <v>81.569999999999993</v>
      </c>
      <c r="F90" s="377">
        <f t="shared" si="3"/>
        <v>-304.80000000000018</v>
      </c>
      <c r="G90" s="377">
        <f t="shared" si="4"/>
        <v>6830.4</v>
      </c>
      <c r="H90" s="378">
        <f t="shared" si="5"/>
        <v>-4.4624033731553089E-2</v>
      </c>
      <c r="I90" s="377" t="s">
        <v>186</v>
      </c>
      <c r="J90" s="377"/>
      <c r="K90" s="377"/>
      <c r="L90" s="376"/>
    </row>
    <row r="91" spans="1:12" x14ac:dyDescent="0.25">
      <c r="A91" s="376"/>
      <c r="B91" s="375">
        <v>42702</v>
      </c>
      <c r="C91" s="376">
        <v>80</v>
      </c>
      <c r="D91" s="377">
        <v>85.38</v>
      </c>
      <c r="E91" s="377">
        <v>74.06</v>
      </c>
      <c r="F91" s="377">
        <f t="shared" si="3"/>
        <v>-905.59999999999945</v>
      </c>
      <c r="G91" s="377">
        <f t="shared" si="4"/>
        <v>6830.4</v>
      </c>
      <c r="H91" s="378">
        <f t="shared" si="5"/>
        <v>-0.13258374326540165</v>
      </c>
      <c r="I91" s="377"/>
      <c r="J91" s="377"/>
      <c r="K91" s="377"/>
      <c r="L91" s="376"/>
    </row>
    <row r="92" spans="1:12" x14ac:dyDescent="0.25">
      <c r="A92" s="376"/>
      <c r="B92" s="375">
        <v>42704</v>
      </c>
      <c r="C92" s="376">
        <v>80</v>
      </c>
      <c r="D92" s="377">
        <v>85.38</v>
      </c>
      <c r="E92" s="377">
        <v>76.89</v>
      </c>
      <c r="F92" s="377">
        <f t="shared" si="3"/>
        <v>-679.19999999999959</v>
      </c>
      <c r="G92" s="377">
        <f t="shared" si="4"/>
        <v>6830.4</v>
      </c>
      <c r="H92" s="378">
        <f t="shared" si="5"/>
        <v>-9.9437807449051244E-2</v>
      </c>
      <c r="I92" s="377"/>
      <c r="J92" s="377"/>
      <c r="K92" s="377"/>
      <c r="L92" s="376"/>
    </row>
    <row r="93" spans="1:12" x14ac:dyDescent="0.25">
      <c r="A93" s="376"/>
      <c r="B93" s="375">
        <v>42729</v>
      </c>
      <c r="C93" s="376">
        <v>80</v>
      </c>
      <c r="D93" s="377">
        <v>85.38</v>
      </c>
      <c r="E93" s="377">
        <v>79.14</v>
      </c>
      <c r="F93" s="377">
        <f t="shared" si="3"/>
        <v>-499.19999999999959</v>
      </c>
      <c r="G93" s="377">
        <f t="shared" si="4"/>
        <v>6830.4</v>
      </c>
      <c r="H93" s="378">
        <f t="shared" si="5"/>
        <v>-7.3085031623330937E-2</v>
      </c>
      <c r="I93" s="377"/>
      <c r="J93" s="377"/>
      <c r="K93" s="377"/>
      <c r="L93" s="376"/>
    </row>
    <row r="94" spans="1:12" x14ac:dyDescent="0.25">
      <c r="A94" s="376"/>
      <c r="B94" s="375">
        <v>42745</v>
      </c>
      <c r="C94" s="376">
        <v>80</v>
      </c>
      <c r="D94" s="377">
        <v>85.38</v>
      </c>
      <c r="E94" s="377">
        <v>82.67</v>
      </c>
      <c r="F94" s="377">
        <f t="shared" si="3"/>
        <v>-216.7999999999995</v>
      </c>
      <c r="G94" s="377">
        <f t="shared" si="4"/>
        <v>6830.4</v>
      </c>
      <c r="H94" s="378">
        <f t="shared" si="5"/>
        <v>-3.1740454438978612E-2</v>
      </c>
      <c r="I94" s="377"/>
      <c r="J94" s="377"/>
      <c r="K94" s="377"/>
      <c r="L94" s="376"/>
    </row>
    <row r="95" spans="1:12" x14ac:dyDescent="0.25">
      <c r="A95" s="376"/>
      <c r="B95" s="375">
        <v>42756</v>
      </c>
      <c r="C95" s="376">
        <v>80</v>
      </c>
      <c r="D95" s="377">
        <v>85.38</v>
      </c>
      <c r="E95" s="377">
        <v>81.56</v>
      </c>
      <c r="F95" s="377">
        <f t="shared" si="3"/>
        <v>-305.59999999999945</v>
      </c>
      <c r="G95" s="377">
        <f t="shared" si="4"/>
        <v>6830.4</v>
      </c>
      <c r="H95" s="378">
        <f t="shared" si="5"/>
        <v>-4.4741157179667292E-2</v>
      </c>
      <c r="I95" s="377"/>
      <c r="J95" s="377"/>
      <c r="K95" s="377"/>
      <c r="L95" s="376"/>
    </row>
    <row r="96" spans="1:12" x14ac:dyDescent="0.25">
      <c r="A96" s="376"/>
      <c r="B96" s="375">
        <v>42760</v>
      </c>
      <c r="C96" s="376">
        <v>100</v>
      </c>
      <c r="D96" s="377">
        <v>84.36</v>
      </c>
      <c r="E96" s="377">
        <v>79.489999999999995</v>
      </c>
      <c r="F96" s="377">
        <f t="shared" si="3"/>
        <v>-487.00000000000045</v>
      </c>
      <c r="G96" s="377">
        <f t="shared" si="4"/>
        <v>8436</v>
      </c>
      <c r="H96" s="378">
        <f t="shared" si="5"/>
        <v>-5.7728781412991995E-2</v>
      </c>
      <c r="I96" s="377"/>
      <c r="J96" s="377"/>
      <c r="K96" s="377"/>
      <c r="L96" s="376"/>
    </row>
    <row r="97" spans="1:12" x14ac:dyDescent="0.25">
      <c r="A97" s="376"/>
      <c r="B97" s="375">
        <v>42762</v>
      </c>
      <c r="C97" s="376">
        <v>180</v>
      </c>
      <c r="D97" s="377">
        <v>81.169280000000001</v>
      </c>
      <c r="E97" s="377">
        <v>77.75</v>
      </c>
      <c r="F97" s="377">
        <f t="shared" si="3"/>
        <v>-615.47040000000015</v>
      </c>
      <c r="G97" s="377">
        <f t="shared" si="4"/>
        <v>14610.4704</v>
      </c>
      <c r="H97" s="378">
        <f t="shared" si="5"/>
        <v>-4.2125296663959574E-2</v>
      </c>
      <c r="I97" s="377"/>
      <c r="J97" s="377"/>
      <c r="K97" s="377"/>
      <c r="L97" s="376"/>
    </row>
    <row r="98" spans="1:12" x14ac:dyDescent="0.25">
      <c r="A98" s="376" t="s">
        <v>387</v>
      </c>
      <c r="B98" s="375">
        <v>42762</v>
      </c>
      <c r="C98" s="376">
        <v>140</v>
      </c>
      <c r="D98" s="377">
        <v>82.137640000000005</v>
      </c>
      <c r="E98" s="377">
        <v>77.75</v>
      </c>
      <c r="F98" s="377">
        <f t="shared" si="3"/>
        <v>-614.26960000000065</v>
      </c>
      <c r="G98" s="377">
        <f t="shared" si="4"/>
        <v>11499.269600000001</v>
      </c>
      <c r="H98" s="378">
        <f t="shared" si="5"/>
        <v>-5.3418140574771865E-2</v>
      </c>
      <c r="I98" s="377"/>
      <c r="J98" s="377"/>
      <c r="K98" s="377"/>
      <c r="L98" s="376"/>
    </row>
    <row r="99" spans="1:12" x14ac:dyDescent="0.25">
      <c r="A99" s="376" t="s">
        <v>404</v>
      </c>
      <c r="B99" s="375">
        <v>42768</v>
      </c>
      <c r="C99" s="376">
        <v>180</v>
      </c>
      <c r="D99" s="377">
        <v>80.347059999999999</v>
      </c>
      <c r="E99" s="377">
        <v>74.8</v>
      </c>
      <c r="F99" s="377">
        <f t="shared" si="3"/>
        <v>-998.47080000000028</v>
      </c>
      <c r="G99" s="377">
        <f t="shared" si="4"/>
        <v>14462.470799999999</v>
      </c>
      <c r="H99" s="378">
        <f t="shared" si="5"/>
        <v>-6.903874267459198E-2</v>
      </c>
      <c r="I99" s="377" t="s">
        <v>186</v>
      </c>
      <c r="J99" s="377"/>
      <c r="K99" s="377"/>
      <c r="L99" s="376"/>
    </row>
    <row r="100" spans="1:12" x14ac:dyDescent="0.25">
      <c r="A100" s="376" t="s">
        <v>404</v>
      </c>
      <c r="B100" s="375">
        <v>42778</v>
      </c>
      <c r="C100" s="376">
        <v>180</v>
      </c>
      <c r="D100" s="377">
        <v>80.347059999999999</v>
      </c>
      <c r="E100" s="377">
        <v>78.53</v>
      </c>
      <c r="F100" s="377">
        <f t="shared" si="3"/>
        <v>-327.07079999999962</v>
      </c>
      <c r="G100" s="377">
        <f t="shared" si="4"/>
        <v>14462.470799999999</v>
      </c>
      <c r="H100" s="378">
        <f t="shared" si="5"/>
        <v>-2.2615139869461284E-2</v>
      </c>
      <c r="I100" s="377"/>
      <c r="J100" s="377"/>
      <c r="K100" s="377"/>
      <c r="L100" s="376"/>
    </row>
    <row r="101" spans="1:12" x14ac:dyDescent="0.25">
      <c r="A101" s="376" t="s">
        <v>462</v>
      </c>
      <c r="B101" s="375">
        <v>42787</v>
      </c>
      <c r="C101" s="376">
        <v>180</v>
      </c>
      <c r="D101" s="377">
        <v>80.346999999999994</v>
      </c>
      <c r="E101" s="377">
        <v>79.760000000000005</v>
      </c>
      <c r="F101" s="377">
        <f t="shared" si="3"/>
        <v>-105.65999999999804</v>
      </c>
      <c r="G101" s="377">
        <f t="shared" si="4"/>
        <v>14462.46</v>
      </c>
      <c r="H101" s="378">
        <f t="shared" si="5"/>
        <v>-7.3058110445939376E-3</v>
      </c>
      <c r="I101" s="377"/>
      <c r="J101" s="377"/>
      <c r="K101" s="377"/>
      <c r="L101" s="376"/>
    </row>
    <row r="102" spans="1:12" x14ac:dyDescent="0.25">
      <c r="A102" s="376" t="s">
        <v>464</v>
      </c>
      <c r="B102" s="375">
        <v>42788</v>
      </c>
      <c r="C102" s="376">
        <v>140</v>
      </c>
      <c r="D102" s="377">
        <v>80.338139999999996</v>
      </c>
      <c r="E102" s="377">
        <v>80.16</v>
      </c>
      <c r="F102" s="377">
        <f t="shared" si="3"/>
        <v>-24.939599999999871</v>
      </c>
      <c r="G102" s="377">
        <f t="shared" si="4"/>
        <v>11247.339599999999</v>
      </c>
      <c r="H102" s="378">
        <f t="shared" si="5"/>
        <v>-2.2173776988115368E-3</v>
      </c>
      <c r="I102" s="377"/>
      <c r="J102" s="377"/>
      <c r="K102" s="377"/>
      <c r="L102" s="376"/>
    </row>
    <row r="103" spans="1:12" x14ac:dyDescent="0.25">
      <c r="A103" s="376" t="s">
        <v>464</v>
      </c>
      <c r="B103" s="375">
        <v>42790</v>
      </c>
      <c r="C103" s="376">
        <v>140</v>
      </c>
      <c r="D103" s="377">
        <v>80.338139999999996</v>
      </c>
      <c r="E103" s="377">
        <v>81.48</v>
      </c>
      <c r="F103" s="377">
        <f t="shared" si="3"/>
        <v>159.86040000000116</v>
      </c>
      <c r="G103" s="377">
        <f t="shared" si="4"/>
        <v>11247.339599999999</v>
      </c>
      <c r="H103" s="378">
        <f t="shared" si="5"/>
        <v>1.4213174464830881E-2</v>
      </c>
      <c r="I103" s="377"/>
      <c r="J103" s="377"/>
      <c r="K103" s="377"/>
      <c r="L103" s="376"/>
    </row>
    <row r="104" spans="1:12" x14ac:dyDescent="0.25">
      <c r="A104" s="376" t="s">
        <v>495</v>
      </c>
      <c r="B104" s="375">
        <v>42796</v>
      </c>
      <c r="C104" s="376">
        <v>60</v>
      </c>
      <c r="D104" s="377">
        <v>79.191299999999998</v>
      </c>
      <c r="E104" s="377">
        <v>81.349999999999994</v>
      </c>
      <c r="F104" s="377">
        <f t="shared" si="3"/>
        <v>129.52199999999976</v>
      </c>
      <c r="G104" s="377">
        <f t="shared" si="4"/>
        <v>4751.4780000000001</v>
      </c>
      <c r="H104" s="378">
        <f t="shared" si="5"/>
        <v>2.7259307524942718E-2</v>
      </c>
      <c r="I104" s="377"/>
      <c r="J104" s="377"/>
      <c r="K104" s="377"/>
      <c r="L104" s="376"/>
    </row>
    <row r="105" spans="1:12" x14ac:dyDescent="0.25">
      <c r="A105" s="376">
        <v>60</v>
      </c>
      <c r="B105" s="375">
        <v>42809</v>
      </c>
      <c r="C105" s="376">
        <v>60</v>
      </c>
      <c r="D105" s="377">
        <v>79.191299999999998</v>
      </c>
      <c r="E105" s="377">
        <v>79.73</v>
      </c>
      <c r="F105" s="377">
        <f t="shared" si="3"/>
        <v>32.322000000000344</v>
      </c>
      <c r="G105" s="377">
        <f t="shared" si="4"/>
        <v>4751.4780000000001</v>
      </c>
      <c r="H105" s="378">
        <f t="shared" si="5"/>
        <v>6.8025149227251697E-3</v>
      </c>
      <c r="I105" s="377"/>
      <c r="J105" s="377"/>
      <c r="K105" s="377"/>
      <c r="L105" s="376"/>
    </row>
    <row r="106" spans="1:12" x14ac:dyDescent="0.25">
      <c r="A106" s="376">
        <v>60</v>
      </c>
      <c r="B106" s="375">
        <v>42818</v>
      </c>
      <c r="C106" s="376">
        <v>60</v>
      </c>
      <c r="D106" s="377">
        <v>79.191299999999998</v>
      </c>
      <c r="E106" s="377">
        <v>78.489999999999995</v>
      </c>
      <c r="F106" s="377">
        <f t="shared" si="3"/>
        <v>-42.078000000000202</v>
      </c>
      <c r="G106" s="377">
        <f t="shared" si="4"/>
        <v>4751.4780000000001</v>
      </c>
      <c r="H106" s="378">
        <f t="shared" si="5"/>
        <v>-8.8557707727995802E-3</v>
      </c>
      <c r="I106" s="377"/>
      <c r="J106" s="377"/>
      <c r="K106" s="377"/>
      <c r="L106" s="376"/>
    </row>
    <row r="107" spans="1:12" x14ac:dyDescent="0.25">
      <c r="A107" s="376">
        <v>60</v>
      </c>
      <c r="B107" s="375">
        <v>42841</v>
      </c>
      <c r="C107" s="376">
        <v>60</v>
      </c>
      <c r="D107" s="377">
        <v>79.19</v>
      </c>
      <c r="E107" s="377">
        <v>77.959999999999994</v>
      </c>
      <c r="F107" s="377">
        <f t="shared" si="3"/>
        <v>-73.800000000000239</v>
      </c>
      <c r="G107" s="377">
        <f t="shared" si="4"/>
        <v>4751.3999999999996</v>
      </c>
      <c r="H107" s="378">
        <f t="shared" si="5"/>
        <v>-1.5532264174769592E-2</v>
      </c>
      <c r="I107" s="377"/>
      <c r="J107" s="377"/>
      <c r="K107" s="377"/>
      <c r="L107" s="376"/>
    </row>
    <row r="108" spans="1:12" x14ac:dyDescent="0.25">
      <c r="A108" s="376">
        <v>0</v>
      </c>
      <c r="B108" s="375">
        <v>42850</v>
      </c>
      <c r="C108" s="376">
        <v>0</v>
      </c>
      <c r="D108" s="377"/>
      <c r="E108" s="377">
        <v>82.17</v>
      </c>
      <c r="F108" s="377">
        <v>167.21</v>
      </c>
      <c r="G108" s="377"/>
      <c r="H108" s="378"/>
      <c r="I108" s="377"/>
      <c r="J108" s="377"/>
      <c r="K108" s="377"/>
      <c r="L108" s="376"/>
    </row>
    <row r="109" spans="1:12" x14ac:dyDescent="0.25">
      <c r="A109" s="376"/>
      <c r="B109" s="375"/>
      <c r="C109" s="376"/>
      <c r="D109" s="377"/>
      <c r="E109" s="377"/>
      <c r="F109" s="377"/>
      <c r="G109" s="377"/>
      <c r="H109" s="378"/>
      <c r="I109" s="377"/>
      <c r="J109" s="377"/>
      <c r="K109" s="377"/>
      <c r="L109" s="376"/>
    </row>
    <row r="110" spans="1:12" x14ac:dyDescent="0.25">
      <c r="A110" s="376"/>
      <c r="B110" s="375"/>
      <c r="C110" s="376"/>
      <c r="D110" s="377"/>
      <c r="E110" s="377"/>
      <c r="F110" s="377"/>
      <c r="G110" s="377"/>
      <c r="H110" s="378"/>
      <c r="I110" s="377"/>
      <c r="J110" s="377"/>
      <c r="K110" s="377"/>
      <c r="L110" s="376"/>
    </row>
    <row r="111" spans="1:12" x14ac:dyDescent="0.25">
      <c r="A111" s="376"/>
      <c r="B111" s="375"/>
      <c r="C111" s="376"/>
      <c r="D111" s="377"/>
      <c r="E111" s="377"/>
      <c r="F111" s="377"/>
      <c r="G111" s="377"/>
      <c r="H111" s="378"/>
      <c r="I111" s="377"/>
      <c r="J111" s="377"/>
      <c r="K111" s="377"/>
      <c r="L111" s="376"/>
    </row>
    <row r="112" spans="1:12" x14ac:dyDescent="0.25">
      <c r="A112" s="376"/>
      <c r="B112" s="375"/>
      <c r="C112" s="376"/>
      <c r="D112" s="377"/>
      <c r="E112" s="377"/>
      <c r="F112" s="377"/>
      <c r="G112" s="377"/>
      <c r="H112" s="378"/>
      <c r="I112" s="377"/>
      <c r="J112" s="377"/>
      <c r="K112" s="377"/>
      <c r="L112" s="376"/>
    </row>
    <row r="113" spans="1:12" x14ac:dyDescent="0.25">
      <c r="A113" s="376"/>
      <c r="B113" s="375"/>
      <c r="C113" s="376"/>
      <c r="D113" s="377"/>
      <c r="E113" s="377"/>
      <c r="F113" s="377"/>
      <c r="G113" s="377"/>
      <c r="H113" s="378"/>
      <c r="I113" s="377"/>
      <c r="J113" s="377"/>
      <c r="K113" s="377"/>
      <c r="L113" s="376"/>
    </row>
    <row r="114" spans="1:12" x14ac:dyDescent="0.25">
      <c r="A114" s="376"/>
      <c r="B114" s="375"/>
      <c r="C114" s="376"/>
      <c r="D114" s="377"/>
      <c r="E114" s="377"/>
      <c r="F114" s="377"/>
      <c r="G114" s="377"/>
      <c r="H114" s="378"/>
      <c r="I114" s="377"/>
      <c r="J114" s="377"/>
      <c r="K114" s="377"/>
      <c r="L114" s="376"/>
    </row>
    <row r="115" spans="1:12" x14ac:dyDescent="0.25">
      <c r="A115" s="376"/>
      <c r="B115" s="375"/>
      <c r="C115" s="376"/>
      <c r="D115" s="377"/>
      <c r="E115" s="377"/>
      <c r="F115" s="377"/>
      <c r="G115" s="377"/>
      <c r="H115" s="378"/>
      <c r="I115" s="377"/>
      <c r="J115" s="377"/>
      <c r="K115" s="377"/>
      <c r="L115" s="37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128" priority="15">
      <formula>F57&gt;0</formula>
    </cfRule>
    <cfRule type="expression" dxfId="1127" priority="16">
      <formula>F57&lt;0</formula>
    </cfRule>
  </conditionalFormatting>
  <conditionalFormatting sqref="Q7">
    <cfRule type="expression" dxfId="1126" priority="13">
      <formula>Q7&gt;0</formula>
    </cfRule>
    <cfRule type="expression" dxfId="1125" priority="14">
      <formula>Q7&lt;0</formula>
    </cfRule>
  </conditionalFormatting>
  <conditionalFormatting sqref="Q8">
    <cfRule type="expression" dxfId="1124" priority="11">
      <formula>Q8&gt;0</formula>
    </cfRule>
    <cfRule type="expression" dxfId="1123" priority="12">
      <formula>Q8&lt;0</formula>
    </cfRule>
  </conditionalFormatting>
  <conditionalFormatting sqref="F25:F56">
    <cfRule type="expression" dxfId="1122" priority="9">
      <formula>F25&gt;0</formula>
    </cfRule>
    <cfRule type="expression" dxfId="1121" priority="10">
      <formula>F25&lt;0</formula>
    </cfRule>
  </conditionalFormatting>
  <conditionalFormatting sqref="H25:H56">
    <cfRule type="expression" dxfId="1120" priority="7">
      <formula>H25&gt;0</formula>
    </cfRule>
    <cfRule type="expression" dxfId="1119" priority="8">
      <formula>H25&lt;0</formula>
    </cfRule>
  </conditionalFormatting>
  <conditionalFormatting sqref="M58">
    <cfRule type="expression" dxfId="1118" priority="5">
      <formula>M58&gt;0</formula>
    </cfRule>
    <cfRule type="expression" dxfId="1117" priority="6">
      <formula>M58&lt;0</formula>
    </cfRule>
  </conditionalFormatting>
  <conditionalFormatting sqref="F84:F115">
    <cfRule type="expression" dxfId="1116" priority="3">
      <formula>F84&gt;0</formula>
    </cfRule>
    <cfRule type="expression" dxfId="1115" priority="4">
      <formula>F84&lt;0</formula>
    </cfRule>
  </conditionalFormatting>
  <conditionalFormatting sqref="H84:H115">
    <cfRule type="expression" dxfId="1114" priority="1">
      <formula>H84&gt;0</formula>
    </cfRule>
    <cfRule type="expression" dxfId="111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Normal="100" workbookViewId="0">
      <pane ySplit="1" topLeftCell="A17" activePane="bottomLeft" state="frozen"/>
      <selection pane="bottomLeft" activeCell="H39" sqref="H39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2" bestFit="1" customWidth="1"/>
    <col min="21" max="21" width="16.71093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8">
        <v>42761</v>
      </c>
      <c r="C2" s="7">
        <v>500</v>
      </c>
      <c r="D2" s="78">
        <v>17.79</v>
      </c>
      <c r="E2" s="44">
        <v>0</v>
      </c>
      <c r="F2" s="44">
        <f t="shared" ref="F2:F41" si="0">C2*D2+E2</f>
        <v>8895</v>
      </c>
      <c r="G2" s="498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8400</v>
      </c>
      <c r="T2" s="63">
        <v>42804</v>
      </c>
      <c r="U2" s="717" t="s">
        <v>747</v>
      </c>
      <c r="V2" s="717"/>
      <c r="W2" s="717"/>
    </row>
    <row r="3" spans="1:32" x14ac:dyDescent="0.25">
      <c r="A3" s="23" t="s">
        <v>71</v>
      </c>
      <c r="B3" s="498">
        <v>42761</v>
      </c>
      <c r="C3" s="4">
        <v>500</v>
      </c>
      <c r="D3" s="237">
        <v>17.78</v>
      </c>
      <c r="E3" s="3">
        <v>-2.5</v>
      </c>
      <c r="F3" s="3">
        <f t="shared" si="0"/>
        <v>8887.5</v>
      </c>
      <c r="G3" s="498">
        <v>42803</v>
      </c>
      <c r="H3" s="81">
        <v>200</v>
      </c>
      <c r="I3" s="78">
        <v>15.6</v>
      </c>
      <c r="J3" s="44">
        <v>7.0000000000000007E-2</v>
      </c>
      <c r="K3" s="44">
        <f t="shared" ref="K3:K12" si="1">H3*I3-J3</f>
        <v>3119.93</v>
      </c>
      <c r="L3" s="73">
        <v>42846</v>
      </c>
      <c r="M3" s="44">
        <v>3.25</v>
      </c>
      <c r="O3" s="11" t="s">
        <v>58</v>
      </c>
      <c r="Q3" s="504">
        <f>IF(Q2=0, Q4, (F49-K49-M49)/Q2)</f>
        <v>15.342536904761904</v>
      </c>
      <c r="T3" s="63">
        <v>42866</v>
      </c>
      <c r="U3" s="717" t="s">
        <v>748</v>
      </c>
      <c r="V3" s="717"/>
      <c r="W3" s="717"/>
      <c r="AC3" s="231"/>
      <c r="AF3" s="231"/>
    </row>
    <row r="4" spans="1:32" ht="15" customHeight="1" x14ac:dyDescent="0.25">
      <c r="B4" s="498">
        <v>42762</v>
      </c>
      <c r="C4" s="4">
        <v>100</v>
      </c>
      <c r="D4" s="237">
        <v>17.28</v>
      </c>
      <c r="E4" s="3">
        <v>0</v>
      </c>
      <c r="F4" s="3">
        <f t="shared" si="0"/>
        <v>1728</v>
      </c>
      <c r="G4" s="498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11.53</v>
      </c>
      <c r="R4" s="497">
        <v>-8.6E-3</v>
      </c>
      <c r="AA4" s="232"/>
      <c r="AC4" s="231"/>
      <c r="AF4" s="231"/>
    </row>
    <row r="5" spans="1:32" x14ac:dyDescent="0.25">
      <c r="B5" s="498">
        <v>42765</v>
      </c>
      <c r="C5" s="4">
        <v>100</v>
      </c>
      <c r="D5" s="237">
        <v>16.8</v>
      </c>
      <c r="E5" s="3">
        <v>0</v>
      </c>
      <c r="F5" s="3">
        <f t="shared" si="0"/>
        <v>1680</v>
      </c>
      <c r="G5" s="498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96852</v>
      </c>
      <c r="T5" s="67"/>
    </row>
    <row r="6" spans="1:32" x14ac:dyDescent="0.25">
      <c r="B6" s="498">
        <v>42765</v>
      </c>
      <c r="C6" s="4">
        <v>500</v>
      </c>
      <c r="D6" s="237">
        <v>16.649999999999999</v>
      </c>
      <c r="E6" s="3">
        <v>0</v>
      </c>
      <c r="F6" s="3">
        <f t="shared" si="0"/>
        <v>8325</v>
      </c>
      <c r="G6" s="498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128877.30999999998</v>
      </c>
    </row>
    <row r="7" spans="1:32" x14ac:dyDescent="0.25">
      <c r="B7" s="498">
        <v>42765</v>
      </c>
      <c r="C7" s="4">
        <v>200</v>
      </c>
      <c r="D7" s="237">
        <v>16.48</v>
      </c>
      <c r="E7" s="3">
        <v>0</v>
      </c>
      <c r="F7" s="3">
        <f t="shared" si="0"/>
        <v>3296</v>
      </c>
      <c r="G7" s="498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179</v>
      </c>
      <c r="Q7" s="2">
        <f>Q10+Q8</f>
        <v>-17409.738999998357</v>
      </c>
      <c r="R7">
        <v>7200</v>
      </c>
      <c r="U7" s="181"/>
    </row>
    <row r="8" spans="1:32" x14ac:dyDescent="0.25">
      <c r="A8" s="634"/>
      <c r="B8" s="498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8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181</v>
      </c>
      <c r="P8" s="34"/>
      <c r="Q8" s="2">
        <f>K49+M49-F49+Q2*Q4</f>
        <v>-32025.309999999983</v>
      </c>
    </row>
    <row r="9" spans="1:32" x14ac:dyDescent="0.25">
      <c r="A9" s="634"/>
      <c r="B9" s="498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8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211</v>
      </c>
      <c r="Q9" s="135">
        <f>IF(Q2=0, 0, Q8/Q6)</f>
        <v>-0.24849455656701702</v>
      </c>
    </row>
    <row r="10" spans="1:32" ht="15" customHeight="1" x14ac:dyDescent="0.25">
      <c r="A10" s="634"/>
      <c r="B10" s="498">
        <v>42767</v>
      </c>
      <c r="C10" s="4">
        <v>500</v>
      </c>
      <c r="D10" s="237">
        <v>16.559999999999999</v>
      </c>
      <c r="E10" s="3">
        <v>-0.5</v>
      </c>
      <c r="F10" s="3">
        <f t="shared" si="0"/>
        <v>8279.5</v>
      </c>
      <c r="G10" s="498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210</v>
      </c>
      <c r="P10" s="34"/>
      <c r="Q10" s="2">
        <f>M363</f>
        <v>14615.571000001626</v>
      </c>
    </row>
    <row r="11" spans="1:32" x14ac:dyDescent="0.25">
      <c r="A11" s="634"/>
      <c r="B11" s="499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8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176</v>
      </c>
      <c r="P11" s="34"/>
      <c r="Q11" s="135">
        <v>1.34E-2</v>
      </c>
    </row>
    <row r="12" spans="1:32" x14ac:dyDescent="0.25">
      <c r="A12" s="634"/>
      <c r="B12" s="498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8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4"/>
      <c r="B13" s="498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4"/>
      <c r="B14" s="499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O14" s="711" t="s">
        <v>113</v>
      </c>
      <c r="P14" s="711" t="s">
        <v>762</v>
      </c>
      <c r="Q14" s="711" t="s">
        <v>763</v>
      </c>
      <c r="R14" s="709" t="s">
        <v>756</v>
      </c>
      <c r="S14" s="709" t="s">
        <v>757</v>
      </c>
      <c r="T14" s="711" t="s">
        <v>759</v>
      </c>
      <c r="U14" s="711" t="s">
        <v>760</v>
      </c>
      <c r="V14" s="709" t="s">
        <v>758</v>
      </c>
      <c r="W14" s="710" t="s">
        <v>761</v>
      </c>
    </row>
    <row r="15" spans="1:32" x14ac:dyDescent="0.25">
      <c r="B15" s="498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O15" s="712">
        <v>42949</v>
      </c>
      <c r="P15" s="708" t="s">
        <v>764</v>
      </c>
      <c r="Q15" s="708"/>
      <c r="R15" s="707">
        <v>-0.15</v>
      </c>
      <c r="S15" s="707">
        <v>-0.24</v>
      </c>
      <c r="T15" s="708">
        <v>1.02</v>
      </c>
      <c r="U15" s="708">
        <v>1.04</v>
      </c>
      <c r="V15" s="705"/>
      <c r="W15" s="706"/>
    </row>
    <row r="16" spans="1:32" x14ac:dyDescent="0.25">
      <c r="B16" s="498">
        <v>42772</v>
      </c>
      <c r="C16" s="4">
        <v>300</v>
      </c>
      <c r="D16" s="237">
        <v>16.48</v>
      </c>
      <c r="E16" s="3">
        <v>0</v>
      </c>
      <c r="F16" s="3">
        <f t="shared" si="0"/>
        <v>4944</v>
      </c>
      <c r="G16" s="30"/>
      <c r="O16" s="714">
        <v>43040</v>
      </c>
      <c r="P16" s="708" t="s">
        <v>765</v>
      </c>
      <c r="Q16" s="708" t="s">
        <v>755</v>
      </c>
      <c r="R16" s="707">
        <v>-0.155</v>
      </c>
      <c r="S16" s="705"/>
      <c r="T16" s="708">
        <v>1.04</v>
      </c>
      <c r="U16" s="708"/>
      <c r="V16" s="705"/>
      <c r="W16" s="706"/>
    </row>
    <row r="17" spans="2:23" x14ac:dyDescent="0.25">
      <c r="B17" s="498">
        <v>42773</v>
      </c>
      <c r="C17" s="4">
        <v>300</v>
      </c>
      <c r="D17" s="237">
        <v>16.079999999999998</v>
      </c>
      <c r="E17" s="3">
        <v>0</v>
      </c>
      <c r="F17" s="3">
        <f t="shared" si="0"/>
        <v>4823.9999999999991</v>
      </c>
      <c r="G17" s="30"/>
      <c r="O17" s="713"/>
      <c r="P17" s="708"/>
      <c r="Q17" s="708"/>
      <c r="R17" s="705"/>
      <c r="S17" s="705"/>
      <c r="T17" s="708"/>
      <c r="U17" s="708"/>
      <c r="V17" s="705"/>
      <c r="W17" s="706"/>
    </row>
    <row r="18" spans="2:23" x14ac:dyDescent="0.25">
      <c r="B18" s="499">
        <v>42773</v>
      </c>
      <c r="C18" s="4">
        <v>300</v>
      </c>
      <c r="D18" s="237">
        <v>15.85</v>
      </c>
      <c r="E18" s="3">
        <v>0</v>
      </c>
      <c r="F18" s="3">
        <f t="shared" si="0"/>
        <v>4755</v>
      </c>
      <c r="G18" s="30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2:23" x14ac:dyDescent="0.25">
      <c r="B19" s="499">
        <v>42782</v>
      </c>
      <c r="C19" s="4">
        <v>300</v>
      </c>
      <c r="D19" s="237">
        <v>16.28</v>
      </c>
      <c r="E19" s="3">
        <v>0</v>
      </c>
      <c r="F19" s="3">
        <f t="shared" si="0"/>
        <v>4884</v>
      </c>
      <c r="G19" s="30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2:23" x14ac:dyDescent="0.25">
      <c r="B20" s="499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2:23" x14ac:dyDescent="0.25">
      <c r="B21" s="499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2:23" x14ac:dyDescent="0.25">
      <c r="B22" s="499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2:23" x14ac:dyDescent="0.25">
      <c r="B23" s="499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2:23" x14ac:dyDescent="0.25">
      <c r="B24" s="499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2:23" x14ac:dyDescent="0.25">
      <c r="B25" s="499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2:23" ht="15" customHeight="1" x14ac:dyDescent="0.25">
      <c r="B26" s="499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3" ht="15" customHeight="1" x14ac:dyDescent="0.25">
      <c r="B27" s="499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3" x14ac:dyDescent="0.25">
      <c r="B28" s="499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3" x14ac:dyDescent="0.25">
      <c r="B29" s="499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3" x14ac:dyDescent="0.25">
      <c r="B30" s="499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3" x14ac:dyDescent="0.25">
      <c r="B31" s="499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3" x14ac:dyDescent="0.25">
      <c r="B32" s="499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499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499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499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499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499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697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697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0" spans="2:16" x14ac:dyDescent="0.25">
      <c r="B40" s="697">
        <v>42961</v>
      </c>
      <c r="C40" s="4">
        <v>200</v>
      </c>
      <c r="D40" s="79">
        <v>12</v>
      </c>
      <c r="E40" s="2">
        <v>0</v>
      </c>
      <c r="F40" s="2">
        <f t="shared" si="0"/>
        <v>2400</v>
      </c>
    </row>
    <row r="41" spans="2:16" ht="20.25" thickBot="1" x14ac:dyDescent="0.35">
      <c r="B41" s="697">
        <v>42961</v>
      </c>
      <c r="C41" s="4">
        <v>200</v>
      </c>
      <c r="D41" s="79">
        <v>11.7</v>
      </c>
      <c r="E41" s="2">
        <v>0</v>
      </c>
      <c r="F41" s="2">
        <f t="shared" si="0"/>
        <v>2340</v>
      </c>
      <c r="O41" s="716" t="s">
        <v>78</v>
      </c>
      <c r="P41" s="716"/>
    </row>
    <row r="42" spans="2:16" ht="15.75" thickTop="1" x14ac:dyDescent="0.25">
      <c r="O42" s="82">
        <v>1.22</v>
      </c>
      <c r="P42" s="82">
        <f>O42*$Q$4</f>
        <v>14.066599999999999</v>
      </c>
    </row>
    <row r="43" spans="2:16" x14ac:dyDescent="0.25">
      <c r="O43" s="82">
        <v>1.21</v>
      </c>
      <c r="P43" s="82">
        <f>O43*$Q$4</f>
        <v>13.951299999999998</v>
      </c>
    </row>
    <row r="44" spans="2:16" x14ac:dyDescent="0.25">
      <c r="O44" s="82">
        <v>1.2</v>
      </c>
      <c r="P44" s="82">
        <f>O44*$Q$4</f>
        <v>13.835999999999999</v>
      </c>
    </row>
    <row r="45" spans="2:16" x14ac:dyDescent="0.25">
      <c r="O45" s="82">
        <v>1.19</v>
      </c>
      <c r="P45" s="82">
        <f>O45*$Q$4</f>
        <v>13.720699999999999</v>
      </c>
    </row>
    <row r="46" spans="2:16" x14ac:dyDescent="0.25">
      <c r="O46" s="82">
        <v>1.18</v>
      </c>
      <c r="P46" s="82">
        <f>O46*$Q$4</f>
        <v>13.605399999999998</v>
      </c>
    </row>
    <row r="47" spans="2:16" x14ac:dyDescent="0.25">
      <c r="O47" s="82">
        <v>1.17</v>
      </c>
      <c r="P47" s="82">
        <f t="shared" ref="P47:P53" si="2">O47*$Q$4</f>
        <v>13.490099999999998</v>
      </c>
    </row>
    <row r="48" spans="2:16" x14ac:dyDescent="0.25">
      <c r="G48" s="30"/>
      <c r="O48" s="82">
        <v>1.1599999999999999</v>
      </c>
      <c r="P48" s="82">
        <f t="shared" si="2"/>
        <v>13.374799999999999</v>
      </c>
    </row>
    <row r="49" spans="1:16" x14ac:dyDescent="0.25">
      <c r="A49" s="32" t="s">
        <v>81</v>
      </c>
      <c r="B49" s="500"/>
      <c r="C49" s="72">
        <f>SUM(C2:C48)</f>
        <v>12500</v>
      </c>
      <c r="D49" s="18"/>
      <c r="E49" s="18"/>
      <c r="F49" s="18">
        <f>SUM(F2:F48)</f>
        <v>191002.61</v>
      </c>
      <c r="G49" s="14"/>
      <c r="H49" s="72">
        <f>SUM(H2:H48)</f>
        <v>4100</v>
      </c>
      <c r="I49" s="80"/>
      <c r="J49" s="18"/>
      <c r="K49" s="18">
        <f>SUM(K2:K48)</f>
        <v>61472.05</v>
      </c>
      <c r="L49" s="14"/>
      <c r="M49" s="18">
        <f>SUM(M2:M48)</f>
        <v>653.25</v>
      </c>
      <c r="O49" s="82">
        <v>1.1499999999999999</v>
      </c>
      <c r="P49" s="82">
        <f t="shared" si="2"/>
        <v>13.259499999999997</v>
      </c>
    </row>
    <row r="50" spans="1:16" ht="15.75" thickBot="1" x14ac:dyDescent="0.3">
      <c r="A50" s="351" t="s">
        <v>195</v>
      </c>
      <c r="B50" s="501"/>
      <c r="C50" s="353">
        <f>SumByColor($A$50, C2:C48)</f>
        <v>4100</v>
      </c>
      <c r="D50" s="353"/>
      <c r="E50" s="353"/>
      <c r="F50" s="354">
        <f>SumByColor($A$50, F2:F48)</f>
        <v>60342</v>
      </c>
      <c r="G50" s="353"/>
      <c r="H50" s="353">
        <f>SumByColor($A$50, H2:H48)</f>
        <v>4100</v>
      </c>
      <c r="I50" s="353"/>
      <c r="J50" s="354"/>
      <c r="K50" s="354">
        <f>SumByColor($A$50, K2:K48)</f>
        <v>61473</v>
      </c>
      <c r="L50" s="353"/>
      <c r="M50" s="354">
        <f>SumByColor($A$50, M2:M48)</f>
        <v>653</v>
      </c>
      <c r="O50" s="82">
        <v>1.1399999999999999</v>
      </c>
      <c r="P50" s="82">
        <f t="shared" si="2"/>
        <v>13.144199999999998</v>
      </c>
    </row>
    <row r="51" spans="1:16" x14ac:dyDescent="0.25">
      <c r="O51" s="82">
        <v>1.1299999999999999</v>
      </c>
      <c r="P51" s="82">
        <f t="shared" si="2"/>
        <v>13.028899999999998</v>
      </c>
    </row>
    <row r="52" spans="1:16" x14ac:dyDescent="0.25">
      <c r="O52" s="82">
        <v>1.1200000000000001</v>
      </c>
      <c r="P52" s="82">
        <f t="shared" si="2"/>
        <v>12.913600000000001</v>
      </c>
    </row>
    <row r="53" spans="1:16" ht="15" customHeight="1" x14ac:dyDescent="0.25">
      <c r="B53" s="502" t="s">
        <v>113</v>
      </c>
      <c r="C53" s="188" t="s">
        <v>146</v>
      </c>
      <c r="D53" s="196" t="s">
        <v>145</v>
      </c>
      <c r="E53" s="191" t="s">
        <v>147</v>
      </c>
      <c r="F53" s="192" t="s">
        <v>65</v>
      </c>
      <c r="G53" s="226" t="s">
        <v>151</v>
      </c>
      <c r="H53" s="192" t="s">
        <v>88</v>
      </c>
      <c r="I53" s="226" t="s">
        <v>154</v>
      </c>
      <c r="J53" s="226" t="s">
        <v>530</v>
      </c>
      <c r="K53" s="226" t="s">
        <v>150</v>
      </c>
      <c r="L53" s="226"/>
      <c r="O53" s="82">
        <v>1.1100000000000001</v>
      </c>
      <c r="P53" s="82">
        <f t="shared" si="2"/>
        <v>12.798300000000001</v>
      </c>
    </row>
    <row r="54" spans="1:16" x14ac:dyDescent="0.25">
      <c r="A54" t="s">
        <v>453</v>
      </c>
      <c r="B54" s="154">
        <v>42787</v>
      </c>
      <c r="C54" s="10">
        <v>5700</v>
      </c>
      <c r="D54" s="239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8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12.683</v>
      </c>
    </row>
    <row r="55" spans="1:16" x14ac:dyDescent="0.25">
      <c r="A55" t="s">
        <v>466</v>
      </c>
      <c r="B55" s="154">
        <v>42788</v>
      </c>
      <c r="C55" s="442">
        <v>6000</v>
      </c>
      <c r="D55" s="670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8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12.5677</v>
      </c>
    </row>
    <row r="56" spans="1:16" x14ac:dyDescent="0.25">
      <c r="A56">
        <v>600</v>
      </c>
      <c r="B56" s="154">
        <v>42795</v>
      </c>
      <c r="C56" s="10">
        <v>5500</v>
      </c>
      <c r="D56" s="239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8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12.452400000000001</v>
      </c>
    </row>
    <row r="57" spans="1:16" x14ac:dyDescent="0.25">
      <c r="A57">
        <v>1400</v>
      </c>
      <c r="B57" s="154">
        <v>42796</v>
      </c>
      <c r="C57" s="10">
        <v>6000</v>
      </c>
      <c r="D57" s="239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8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12.3371</v>
      </c>
    </row>
    <row r="58" spans="1:16" x14ac:dyDescent="0.25">
      <c r="A58">
        <v>3600</v>
      </c>
      <c r="B58" s="154">
        <v>42798</v>
      </c>
      <c r="C58" s="10">
        <v>6000</v>
      </c>
      <c r="D58" s="239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8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12.2218</v>
      </c>
    </row>
    <row r="59" spans="1:16" x14ac:dyDescent="0.25">
      <c r="A59">
        <v>3600</v>
      </c>
      <c r="B59" s="154">
        <v>42800</v>
      </c>
      <c r="C59" s="10">
        <v>6000</v>
      </c>
      <c r="D59" s="239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8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12.1065</v>
      </c>
    </row>
    <row r="60" spans="1:16" x14ac:dyDescent="0.25">
      <c r="A60">
        <v>3600</v>
      </c>
      <c r="B60" s="154">
        <v>42802</v>
      </c>
      <c r="C60" s="10">
        <v>6700</v>
      </c>
      <c r="D60" s="239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29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11.991199999999999</v>
      </c>
    </row>
    <row r="61" spans="1:16" x14ac:dyDescent="0.25">
      <c r="A61">
        <v>3600</v>
      </c>
      <c r="B61" s="154">
        <v>42803</v>
      </c>
      <c r="C61" s="10">
        <v>6000</v>
      </c>
      <c r="D61" s="239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29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11.8759</v>
      </c>
    </row>
    <row r="62" spans="1:16" x14ac:dyDescent="0.25">
      <c r="A62">
        <v>4200</v>
      </c>
      <c r="B62" s="154">
        <v>42805</v>
      </c>
      <c r="C62" s="442">
        <v>6000</v>
      </c>
      <c r="D62" s="670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29">
        <f t="shared" ref="H62" si="27">(E62-D62)/D62</f>
        <v>-1.7485833799460174E-2</v>
      </c>
      <c r="I62" s="40" t="s">
        <v>186</v>
      </c>
      <c r="J62" s="40"/>
      <c r="K62" s="40">
        <v>12890</v>
      </c>
      <c r="L62" s="40"/>
      <c r="O62" s="82">
        <v>1.02</v>
      </c>
      <c r="P62" s="82">
        <f t="shared" si="9"/>
        <v>11.7606</v>
      </c>
    </row>
    <row r="63" spans="1:16" x14ac:dyDescent="0.25">
      <c r="A63">
        <v>4200</v>
      </c>
      <c r="B63" s="154">
        <v>42807</v>
      </c>
      <c r="C63" s="10">
        <v>6000</v>
      </c>
      <c r="D63" s="239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29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11.645299999999999</v>
      </c>
    </row>
    <row r="64" spans="1:16" x14ac:dyDescent="0.25">
      <c r="A64">
        <v>3700</v>
      </c>
      <c r="B64" s="154">
        <v>42808</v>
      </c>
      <c r="C64" s="442">
        <v>6000</v>
      </c>
      <c r="D64" s="670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29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11.53</v>
      </c>
    </row>
    <row r="65" spans="1:16" x14ac:dyDescent="0.25">
      <c r="A65">
        <v>3700</v>
      </c>
      <c r="B65" s="154">
        <v>42809</v>
      </c>
      <c r="C65" s="10">
        <v>6000</v>
      </c>
      <c r="D65" s="239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29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11.4147</v>
      </c>
    </row>
    <row r="66" spans="1:16" x14ac:dyDescent="0.25">
      <c r="A66">
        <v>4000</v>
      </c>
      <c r="B66" s="154">
        <v>42815</v>
      </c>
      <c r="C66" s="10">
        <v>6400</v>
      </c>
      <c r="D66" s="239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29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11.299399999999999</v>
      </c>
    </row>
    <row r="67" spans="1:16" x14ac:dyDescent="0.25">
      <c r="A67">
        <v>4300</v>
      </c>
      <c r="B67" s="154">
        <v>42819</v>
      </c>
      <c r="C67" s="10">
        <v>6400</v>
      </c>
      <c r="D67" s="239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29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11.184099999999999</v>
      </c>
    </row>
    <row r="68" spans="1:16" x14ac:dyDescent="0.25">
      <c r="A68">
        <v>4300</v>
      </c>
      <c r="B68" s="154">
        <v>42821</v>
      </c>
      <c r="C68" s="10">
        <v>6400</v>
      </c>
      <c r="D68" s="239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29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11.0688</v>
      </c>
    </row>
    <row r="69" spans="1:16" x14ac:dyDescent="0.25">
      <c r="A69">
        <v>4300</v>
      </c>
      <c r="B69" s="154">
        <v>42822</v>
      </c>
      <c r="C69" s="10">
        <v>6400</v>
      </c>
      <c r="D69" s="239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29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10.953499999999998</v>
      </c>
    </row>
    <row r="70" spans="1:16" x14ac:dyDescent="0.25">
      <c r="A70">
        <v>3900</v>
      </c>
      <c r="B70" s="154">
        <v>42823</v>
      </c>
      <c r="C70" s="442">
        <v>6000</v>
      </c>
      <c r="D70" s="670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29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10.838199999999999</v>
      </c>
    </row>
    <row r="71" spans="1:16" x14ac:dyDescent="0.25">
      <c r="A71">
        <v>4100</v>
      </c>
      <c r="B71" s="154">
        <v>42830</v>
      </c>
      <c r="C71" s="442">
        <v>6000</v>
      </c>
      <c r="D71" s="670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29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10.722899999999999</v>
      </c>
    </row>
    <row r="72" spans="1:16" x14ac:dyDescent="0.25">
      <c r="A72">
        <v>4800</v>
      </c>
      <c r="B72" s="154">
        <v>42838</v>
      </c>
      <c r="C72" s="10">
        <v>6200</v>
      </c>
      <c r="D72" s="239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8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10.6076</v>
      </c>
    </row>
    <row r="73" spans="1:16" x14ac:dyDescent="0.25">
      <c r="A73">
        <v>5300</v>
      </c>
      <c r="B73" s="154">
        <v>42844</v>
      </c>
      <c r="C73" s="10">
        <v>6400</v>
      </c>
      <c r="D73" s="239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8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10.4923</v>
      </c>
    </row>
    <row r="74" spans="1:16" ht="15" customHeight="1" x14ac:dyDescent="0.25">
      <c r="A74">
        <v>5700</v>
      </c>
      <c r="B74" s="154">
        <v>42854</v>
      </c>
      <c r="C74" s="10">
        <v>6400</v>
      </c>
      <c r="D74" s="239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8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10.376999999999999</v>
      </c>
    </row>
    <row r="75" spans="1:16" x14ac:dyDescent="0.25">
      <c r="A75">
        <v>5700</v>
      </c>
      <c r="B75" s="154">
        <v>42860</v>
      </c>
      <c r="C75" s="10">
        <v>6700</v>
      </c>
      <c r="D75" s="239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8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10.261699999999999</v>
      </c>
    </row>
    <row r="76" spans="1:16" x14ac:dyDescent="0.25">
      <c r="A76">
        <v>6000</v>
      </c>
      <c r="B76" s="154">
        <v>42862</v>
      </c>
      <c r="C76" s="10">
        <v>6700</v>
      </c>
      <c r="D76" s="239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8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10.1464</v>
      </c>
    </row>
    <row r="77" spans="1:16" x14ac:dyDescent="0.25">
      <c r="A77">
        <v>5700</v>
      </c>
      <c r="B77" s="154">
        <v>42863</v>
      </c>
      <c r="C77" s="10">
        <v>6400</v>
      </c>
      <c r="D77" s="239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8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10.031099999999999</v>
      </c>
    </row>
    <row r="78" spans="1:16" x14ac:dyDescent="0.25">
      <c r="A78">
        <v>5700</v>
      </c>
      <c r="B78" s="154">
        <v>42866</v>
      </c>
      <c r="C78" s="10">
        <v>6400</v>
      </c>
      <c r="D78" s="239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8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9.9157999999999991</v>
      </c>
    </row>
    <row r="79" spans="1:16" x14ac:dyDescent="0.25">
      <c r="A79">
        <v>5900</v>
      </c>
      <c r="B79" s="154">
        <v>42872</v>
      </c>
      <c r="C79" s="10">
        <v>6531</v>
      </c>
      <c r="D79" s="239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8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9.8004999999999995</v>
      </c>
    </row>
    <row r="80" spans="1:16" x14ac:dyDescent="0.25">
      <c r="B80" s="154">
        <v>42873</v>
      </c>
      <c r="C80" s="10">
        <v>6400</v>
      </c>
      <c r="D80" s="239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8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4">
        <v>42873</v>
      </c>
      <c r="C81" s="10">
        <v>6700</v>
      </c>
      <c r="D81" s="239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8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4">
        <v>42874</v>
      </c>
      <c r="C82" s="10">
        <v>6400</v>
      </c>
      <c r="D82" s="239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8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4">
        <v>42880</v>
      </c>
      <c r="C83" s="10">
        <v>7000</v>
      </c>
      <c r="D83" s="239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8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4">
        <v>42899</v>
      </c>
      <c r="C84" s="10">
        <v>8000</v>
      </c>
      <c r="D84" s="239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8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4">
        <v>42939</v>
      </c>
      <c r="C85" s="10">
        <v>8000</v>
      </c>
      <c r="D85" s="239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8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4">
        <v>42943</v>
      </c>
      <c r="C86" s="10">
        <v>8200</v>
      </c>
      <c r="D86" s="239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8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4">
        <v>42944</v>
      </c>
      <c r="C87" s="10">
        <v>8000</v>
      </c>
      <c r="D87" s="239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8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4">
        <v>42950</v>
      </c>
      <c r="C88" s="10">
        <v>8000</v>
      </c>
      <c r="D88" s="239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8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4">
        <v>42953</v>
      </c>
      <c r="C89" s="10">
        <v>8000</v>
      </c>
      <c r="D89" s="239">
        <v>15.516999999999999</v>
      </c>
      <c r="E89" s="40">
        <v>12.9</v>
      </c>
      <c r="F89" s="40">
        <f t="shared" ref="F89" si="58">C89*(E89-D89)</f>
        <v>-20935.999999999993</v>
      </c>
      <c r="G89" s="40">
        <f t="shared" ref="G89" si="59">D89*C89</f>
        <v>124136</v>
      </c>
      <c r="H89" s="228">
        <f t="shared" ref="H89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B90" s="154"/>
      <c r="C90" s="10"/>
      <c r="D90" s="239"/>
      <c r="E90" s="40"/>
      <c r="F90" s="40"/>
      <c r="G90" s="40"/>
      <c r="H90" s="228"/>
      <c r="I90" s="40"/>
      <c r="J90" s="40"/>
      <c r="K90" s="40"/>
      <c r="L90" s="40"/>
    </row>
    <row r="91" spans="1:12" x14ac:dyDescent="0.25">
      <c r="B91" s="154"/>
      <c r="C91" s="10"/>
      <c r="D91" s="239"/>
      <c r="E91" s="40"/>
      <c r="F91" s="40"/>
      <c r="G91" s="40"/>
      <c r="H91" s="228"/>
      <c r="I91" s="40"/>
      <c r="J91" s="40"/>
      <c r="K91" s="40"/>
      <c r="L91" s="40"/>
    </row>
    <row r="92" spans="1:12" x14ac:dyDescent="0.25">
      <c r="B92" s="154"/>
      <c r="C92" s="10"/>
      <c r="D92" s="239"/>
      <c r="E92" s="40"/>
      <c r="F92" s="40"/>
      <c r="G92" s="40"/>
      <c r="H92" s="228"/>
      <c r="I92" s="40"/>
      <c r="J92" s="40"/>
      <c r="K92" s="40"/>
      <c r="L92" s="40"/>
    </row>
    <row r="93" spans="1:12" x14ac:dyDescent="0.25">
      <c r="B93" s="154"/>
      <c r="C93" s="10"/>
      <c r="D93" s="239"/>
      <c r="E93" s="40"/>
      <c r="F93" s="40"/>
      <c r="G93" s="40"/>
      <c r="H93" s="228"/>
      <c r="I93" s="40"/>
      <c r="J93" s="40"/>
      <c r="K93" s="40"/>
      <c r="L93" s="40"/>
    </row>
    <row r="94" spans="1:12" x14ac:dyDescent="0.25">
      <c r="B94" s="154"/>
      <c r="C94" s="10"/>
      <c r="D94" s="239"/>
      <c r="E94" s="40"/>
      <c r="F94" s="40"/>
      <c r="G94" s="40"/>
      <c r="H94" s="228"/>
      <c r="I94" s="40"/>
      <c r="J94" s="40"/>
      <c r="K94" s="40"/>
      <c r="L94" s="40"/>
    </row>
    <row r="95" spans="1:12" x14ac:dyDescent="0.25">
      <c r="B95" s="154"/>
      <c r="C95" s="10"/>
      <c r="D95" s="239"/>
      <c r="E95" s="40"/>
      <c r="F95" s="40"/>
      <c r="G95" s="40"/>
      <c r="H95" s="228"/>
      <c r="I95" s="40"/>
      <c r="J95" s="40"/>
      <c r="K95" s="40"/>
      <c r="L95" s="40"/>
    </row>
    <row r="96" spans="1:12" x14ac:dyDescent="0.25">
      <c r="B96" s="154"/>
      <c r="C96" s="10"/>
      <c r="D96" s="239"/>
      <c r="E96" s="40"/>
      <c r="F96" s="40"/>
      <c r="G96" s="40"/>
      <c r="H96" s="228"/>
      <c r="I96" s="40"/>
      <c r="J96" s="40"/>
      <c r="K96" s="40"/>
      <c r="L96" s="40"/>
    </row>
    <row r="97" spans="2:12" x14ac:dyDescent="0.25">
      <c r="B97" s="154"/>
      <c r="C97" s="10"/>
      <c r="D97" s="239"/>
      <c r="E97" s="40"/>
      <c r="F97" s="40"/>
      <c r="G97" s="40"/>
      <c r="H97" s="228"/>
      <c r="I97" s="40"/>
      <c r="J97" s="40"/>
      <c r="K97" s="40"/>
      <c r="L97" s="40"/>
    </row>
    <row r="98" spans="2:12" x14ac:dyDescent="0.25">
      <c r="B98" s="154"/>
      <c r="C98" s="10"/>
      <c r="D98" s="239"/>
      <c r="E98" s="40"/>
      <c r="F98" s="40"/>
      <c r="G98" s="40"/>
      <c r="H98" s="228"/>
      <c r="I98" s="40"/>
      <c r="J98" s="40"/>
      <c r="K98" s="40"/>
      <c r="L98" s="40"/>
    </row>
    <row r="99" spans="2:12" x14ac:dyDescent="0.25">
      <c r="B99" s="154"/>
      <c r="C99" s="10"/>
      <c r="D99" s="239"/>
      <c r="E99" s="40"/>
      <c r="F99" s="40"/>
      <c r="G99" s="40"/>
      <c r="H99" s="228"/>
      <c r="I99" s="40"/>
      <c r="J99" s="40"/>
      <c r="K99" s="40"/>
      <c r="L99" s="40"/>
    </row>
    <row r="100" spans="2:12" x14ac:dyDescent="0.25">
      <c r="B100" s="154"/>
      <c r="C100" s="10"/>
      <c r="D100" s="239"/>
      <c r="E100" s="40"/>
      <c r="F100" s="40"/>
      <c r="G100" s="40"/>
      <c r="H100" s="228"/>
      <c r="I100" s="40"/>
      <c r="J100" s="40"/>
      <c r="K100" s="40"/>
      <c r="L100" s="40"/>
    </row>
    <row r="103" spans="2:12" x14ac:dyDescent="0.25">
      <c r="B103" s="645" t="s">
        <v>113</v>
      </c>
      <c r="C103" s="508" t="s">
        <v>146</v>
      </c>
      <c r="D103" s="646" t="s">
        <v>145</v>
      </c>
      <c r="E103" s="510" t="s">
        <v>147</v>
      </c>
      <c r="F103" s="511" t="s">
        <v>65</v>
      </c>
      <c r="G103" s="512" t="s">
        <v>151</v>
      </c>
      <c r="H103" s="511" t="s">
        <v>88</v>
      </c>
      <c r="I103" s="512" t="s">
        <v>154</v>
      </c>
    </row>
    <row r="104" spans="2:12" x14ac:dyDescent="0.25">
      <c r="B104" s="647">
        <v>42305</v>
      </c>
      <c r="C104" s="376">
        <v>2000</v>
      </c>
      <c r="D104" s="648">
        <v>34.06</v>
      </c>
      <c r="E104" s="377">
        <v>17.68</v>
      </c>
      <c r="F104" s="377">
        <v>-32767.45</v>
      </c>
      <c r="G104" s="377">
        <f t="shared" ref="G104:G110" si="61">IF(C104=0, 0,D104*C104)</f>
        <v>68120</v>
      </c>
      <c r="H104" s="379">
        <f t="shared" ref="H104:H110" si="62">IF(C104=0, D104, (E104-D104)/D104)</f>
        <v>-0.48091603053435117</v>
      </c>
      <c r="I104" s="377"/>
    </row>
    <row r="105" spans="2:12" x14ac:dyDescent="0.25">
      <c r="B105" s="647">
        <v>42307</v>
      </c>
      <c r="C105" s="376">
        <v>0</v>
      </c>
      <c r="D105" s="648" t="s">
        <v>128</v>
      </c>
      <c r="E105" s="377">
        <v>17.55</v>
      </c>
      <c r="F105" s="377">
        <v>-30722.2</v>
      </c>
      <c r="G105" s="377">
        <f t="shared" si="61"/>
        <v>0</v>
      </c>
      <c r="H105" s="379" t="str">
        <f t="shared" si="62"/>
        <v>N/A</v>
      </c>
      <c r="I105" s="377"/>
    </row>
    <row r="106" spans="2:12" x14ac:dyDescent="0.25">
      <c r="B106" s="647">
        <v>42310</v>
      </c>
      <c r="C106" s="376">
        <v>0</v>
      </c>
      <c r="D106" s="648" t="s">
        <v>128</v>
      </c>
      <c r="E106" s="377">
        <v>19.010000000000002</v>
      </c>
      <c r="F106" s="377">
        <v>-30693.25</v>
      </c>
      <c r="G106" s="377">
        <f t="shared" si="61"/>
        <v>0</v>
      </c>
      <c r="H106" s="379" t="str">
        <f t="shared" si="62"/>
        <v>N/A</v>
      </c>
      <c r="I106" s="377"/>
    </row>
    <row r="107" spans="2:12" x14ac:dyDescent="0.25">
      <c r="B107" s="647">
        <v>42314</v>
      </c>
      <c r="C107" s="376">
        <v>2500</v>
      </c>
      <c r="D107" s="648">
        <v>30.24</v>
      </c>
      <c r="E107" s="377">
        <v>18.29</v>
      </c>
      <c r="F107" s="377">
        <v>-29878.25</v>
      </c>
      <c r="G107" s="377">
        <f t="shared" si="61"/>
        <v>75600</v>
      </c>
      <c r="H107" s="379">
        <f t="shared" si="62"/>
        <v>-0.39517195767195767</v>
      </c>
      <c r="I107" s="377"/>
    </row>
    <row r="108" spans="2:12" x14ac:dyDescent="0.25">
      <c r="B108" s="647">
        <v>42318</v>
      </c>
      <c r="C108" s="376">
        <v>0</v>
      </c>
      <c r="D108" s="648" t="s">
        <v>128</v>
      </c>
      <c r="E108" s="377">
        <v>18.78</v>
      </c>
      <c r="F108" s="377">
        <v>-28604.09</v>
      </c>
      <c r="G108" s="377">
        <f t="shared" si="61"/>
        <v>0</v>
      </c>
      <c r="H108" s="379" t="str">
        <f t="shared" si="62"/>
        <v>N/A</v>
      </c>
      <c r="I108" s="377"/>
    </row>
    <row r="109" spans="2:12" x14ac:dyDescent="0.25">
      <c r="B109" s="647">
        <v>42328</v>
      </c>
      <c r="C109" s="376">
        <v>3078</v>
      </c>
      <c r="D109" s="648">
        <v>26.76</v>
      </c>
      <c r="E109" s="377">
        <v>17.440000000000001</v>
      </c>
      <c r="F109" s="377">
        <v>-28696.448999999906</v>
      </c>
      <c r="G109" s="377">
        <f t="shared" si="61"/>
        <v>82367.28</v>
      </c>
      <c r="H109" s="379">
        <f t="shared" si="62"/>
        <v>-0.34828101644245141</v>
      </c>
      <c r="I109" s="377"/>
    </row>
    <row r="110" spans="2:12" x14ac:dyDescent="0.25">
      <c r="B110" s="647">
        <v>42331</v>
      </c>
      <c r="C110" s="376">
        <v>0</v>
      </c>
      <c r="D110" s="648" t="s">
        <v>128</v>
      </c>
      <c r="E110" s="377">
        <v>17.53</v>
      </c>
      <c r="F110" s="377">
        <v>-28051.068999999901</v>
      </c>
      <c r="G110" s="377">
        <f t="shared" si="61"/>
        <v>0</v>
      </c>
      <c r="H110" s="379" t="str">
        <f t="shared" si="62"/>
        <v>N/A</v>
      </c>
      <c r="I110" s="377"/>
    </row>
    <row r="111" spans="2:12" x14ac:dyDescent="0.25">
      <c r="B111" s="647">
        <v>42335</v>
      </c>
      <c r="C111" s="376">
        <v>3078</v>
      </c>
      <c r="D111" s="648">
        <v>26.85</v>
      </c>
      <c r="E111" s="377">
        <v>17.73</v>
      </c>
      <c r="F111" s="377">
        <f>C111*(E111-D111)</f>
        <v>-28071.360000000004</v>
      </c>
      <c r="G111" s="377">
        <f>D111*C111</f>
        <v>82644.3</v>
      </c>
      <c r="H111" s="378">
        <f>(E111-D111)/D111</f>
        <v>-0.33966480446927377</v>
      </c>
      <c r="I111" s="377"/>
    </row>
    <row r="112" spans="2:12" x14ac:dyDescent="0.25">
      <c r="B112" s="647">
        <v>42335</v>
      </c>
      <c r="C112" s="376">
        <v>3578</v>
      </c>
      <c r="D112" s="648">
        <v>25.55</v>
      </c>
      <c r="E112" s="377">
        <v>17.440000000000001</v>
      </c>
      <c r="F112" s="377">
        <f t="shared" ref="F112:F143" si="63">C112*(E112-D112)</f>
        <v>-29017.579999999998</v>
      </c>
      <c r="G112" s="377">
        <f t="shared" ref="G112:G141" si="64">D112*C112</f>
        <v>91417.900000000009</v>
      </c>
      <c r="H112" s="378">
        <f t="shared" ref="H112:H141" si="65">(E112-D112)/D112</f>
        <v>-0.31741682974559682</v>
      </c>
      <c r="I112" s="377"/>
    </row>
    <row r="113" spans="2:9" x14ac:dyDescent="0.25">
      <c r="B113" s="647">
        <v>42340</v>
      </c>
      <c r="C113" s="376">
        <v>4178</v>
      </c>
      <c r="D113" s="648">
        <v>24.29</v>
      </c>
      <c r="E113" s="377">
        <v>16.670000000000002</v>
      </c>
      <c r="F113" s="377">
        <f t="shared" si="63"/>
        <v>-31836.35999999999</v>
      </c>
      <c r="G113" s="377">
        <f t="shared" si="64"/>
        <v>101483.62</v>
      </c>
      <c r="H113" s="378">
        <f t="shared" si="65"/>
        <v>-0.31370934540963352</v>
      </c>
      <c r="I113" s="377"/>
    </row>
    <row r="114" spans="2:9" x14ac:dyDescent="0.25">
      <c r="B114" s="647">
        <v>42342</v>
      </c>
      <c r="C114" s="376">
        <v>4678</v>
      </c>
      <c r="D114" s="648">
        <v>23.39</v>
      </c>
      <c r="E114" s="377">
        <v>16.12</v>
      </c>
      <c r="F114" s="377">
        <f t="shared" si="63"/>
        <v>-34009.06</v>
      </c>
      <c r="G114" s="377">
        <f t="shared" si="64"/>
        <v>109418.42</v>
      </c>
      <c r="H114" s="378">
        <f t="shared" si="65"/>
        <v>-0.31081658828559211</v>
      </c>
      <c r="I114" s="377"/>
    </row>
    <row r="115" spans="2:9" x14ac:dyDescent="0.25">
      <c r="B115" s="647">
        <v>42342</v>
      </c>
      <c r="C115" s="376">
        <v>4178</v>
      </c>
      <c r="D115" s="648">
        <v>24.26</v>
      </c>
      <c r="E115" s="377">
        <v>16.12</v>
      </c>
      <c r="F115" s="377">
        <f t="shared" si="63"/>
        <v>-34008.920000000006</v>
      </c>
      <c r="G115" s="377">
        <f t="shared" si="64"/>
        <v>101358.28000000001</v>
      </c>
      <c r="H115" s="378">
        <f t="shared" si="65"/>
        <v>-0.33553173948887055</v>
      </c>
      <c r="I115" s="377"/>
    </row>
    <row r="116" spans="2:9" x14ac:dyDescent="0.25">
      <c r="B116" s="647">
        <v>42345</v>
      </c>
      <c r="C116" s="376">
        <v>4678</v>
      </c>
      <c r="D116" s="648">
        <v>23.24</v>
      </c>
      <c r="E116" s="377">
        <v>14.78</v>
      </c>
      <c r="F116" s="377">
        <f t="shared" si="63"/>
        <v>-39575.879999999997</v>
      </c>
      <c r="G116" s="377">
        <f t="shared" si="64"/>
        <v>108716.71999999999</v>
      </c>
      <c r="H116" s="378">
        <f t="shared" si="65"/>
        <v>-0.36402753872633387</v>
      </c>
      <c r="I116" s="377"/>
    </row>
    <row r="117" spans="2:9" x14ac:dyDescent="0.25">
      <c r="B117" s="647">
        <v>42347</v>
      </c>
      <c r="C117" s="376">
        <v>4778</v>
      </c>
      <c r="D117" s="648">
        <v>23.06</v>
      </c>
      <c r="E117" s="377">
        <v>14.92</v>
      </c>
      <c r="F117" s="377">
        <f t="shared" si="63"/>
        <v>-38892.919999999991</v>
      </c>
      <c r="G117" s="377">
        <f t="shared" si="64"/>
        <v>110180.68</v>
      </c>
      <c r="H117" s="378">
        <f t="shared" si="65"/>
        <v>-0.3529921942758022</v>
      </c>
      <c r="I117" s="377"/>
    </row>
    <row r="118" spans="2:9" x14ac:dyDescent="0.25">
      <c r="B118" s="647">
        <v>42348</v>
      </c>
      <c r="C118" s="376">
        <v>4178</v>
      </c>
      <c r="D118" s="648">
        <v>24.23</v>
      </c>
      <c r="E118" s="377">
        <v>14.74</v>
      </c>
      <c r="F118" s="377">
        <f t="shared" si="63"/>
        <v>-39649.22</v>
      </c>
      <c r="G118" s="377">
        <f t="shared" si="64"/>
        <v>101232.94</v>
      </c>
      <c r="H118" s="378">
        <f t="shared" si="65"/>
        <v>-0.39166322740404458</v>
      </c>
      <c r="I118" s="377"/>
    </row>
    <row r="119" spans="2:9" x14ac:dyDescent="0.25">
      <c r="B119" s="647">
        <v>42349</v>
      </c>
      <c r="C119" s="376">
        <v>3678</v>
      </c>
      <c r="D119" s="648">
        <v>25.57</v>
      </c>
      <c r="E119" s="377">
        <v>14.34</v>
      </c>
      <c r="F119" s="377">
        <f t="shared" si="63"/>
        <v>-41303.94</v>
      </c>
      <c r="G119" s="377">
        <f t="shared" si="64"/>
        <v>94046.46</v>
      </c>
      <c r="H119" s="378">
        <f t="shared" si="65"/>
        <v>-0.43918654673445445</v>
      </c>
      <c r="I119" s="377"/>
    </row>
    <row r="120" spans="2:9" x14ac:dyDescent="0.25">
      <c r="B120" s="647">
        <v>42352</v>
      </c>
      <c r="C120" s="376">
        <v>4178</v>
      </c>
      <c r="D120" s="648">
        <v>24.18</v>
      </c>
      <c r="E120" s="377">
        <v>13.96</v>
      </c>
      <c r="F120" s="377">
        <f t="shared" si="63"/>
        <v>-42699.159999999996</v>
      </c>
      <c r="G120" s="377">
        <f t="shared" si="64"/>
        <v>101024.04</v>
      </c>
      <c r="H120" s="378">
        <f t="shared" si="65"/>
        <v>-0.42266335814722905</v>
      </c>
      <c r="I120" s="377"/>
    </row>
    <row r="121" spans="2:9" x14ac:dyDescent="0.25">
      <c r="B121" s="647">
        <v>42355</v>
      </c>
      <c r="C121" s="376">
        <v>4678</v>
      </c>
      <c r="D121" s="648">
        <v>22.98</v>
      </c>
      <c r="E121" s="377">
        <v>12.78</v>
      </c>
      <c r="F121" s="377">
        <f t="shared" si="63"/>
        <v>-47715.600000000006</v>
      </c>
      <c r="G121" s="377">
        <f t="shared" si="64"/>
        <v>107500.44</v>
      </c>
      <c r="H121" s="378">
        <f t="shared" si="65"/>
        <v>-0.44386422976501311</v>
      </c>
      <c r="I121" s="377"/>
    </row>
    <row r="122" spans="2:9" x14ac:dyDescent="0.25">
      <c r="B122" s="647">
        <v>42356</v>
      </c>
      <c r="C122" s="376">
        <v>5178</v>
      </c>
      <c r="D122" s="648">
        <v>21.99</v>
      </c>
      <c r="E122" s="377">
        <v>12.95</v>
      </c>
      <c r="F122" s="377">
        <f t="shared" si="63"/>
        <v>-46809.119999999995</v>
      </c>
      <c r="G122" s="377">
        <f t="shared" si="64"/>
        <v>113864.21999999999</v>
      </c>
      <c r="H122" s="378">
        <f t="shared" si="65"/>
        <v>-0.41109595270577537</v>
      </c>
      <c r="I122" s="377"/>
    </row>
    <row r="123" spans="2:9" x14ac:dyDescent="0.25">
      <c r="B123" s="647">
        <v>42356</v>
      </c>
      <c r="C123" s="376">
        <v>6178</v>
      </c>
      <c r="D123" s="648">
        <v>20.48</v>
      </c>
      <c r="E123" s="377">
        <v>12.76</v>
      </c>
      <c r="F123" s="377">
        <f t="shared" si="63"/>
        <v>-47694.16</v>
      </c>
      <c r="G123" s="377">
        <f t="shared" si="64"/>
        <v>126525.44</v>
      </c>
      <c r="H123" s="378">
        <f t="shared" si="65"/>
        <v>-0.376953125</v>
      </c>
      <c r="I123" s="377"/>
    </row>
    <row r="124" spans="2:9" x14ac:dyDescent="0.25">
      <c r="B124" s="647">
        <v>42356</v>
      </c>
      <c r="C124" s="376">
        <v>6400</v>
      </c>
      <c r="D124" s="648">
        <v>20.2</v>
      </c>
      <c r="E124" s="377">
        <v>12.68</v>
      </c>
      <c r="F124" s="377">
        <f t="shared" si="63"/>
        <v>-48128</v>
      </c>
      <c r="G124" s="377">
        <f t="shared" si="64"/>
        <v>129280</v>
      </c>
      <c r="H124" s="378">
        <f t="shared" si="65"/>
        <v>-0.37227722772277227</v>
      </c>
      <c r="I124" s="377"/>
    </row>
    <row r="125" spans="2:9" x14ac:dyDescent="0.25">
      <c r="B125" s="647">
        <v>42359</v>
      </c>
      <c r="C125" s="376">
        <v>5178</v>
      </c>
      <c r="D125" s="648">
        <v>21.96</v>
      </c>
      <c r="E125" s="377">
        <v>12.66</v>
      </c>
      <c r="F125" s="377">
        <f t="shared" si="63"/>
        <v>-48155.4</v>
      </c>
      <c r="G125" s="377">
        <f t="shared" si="64"/>
        <v>113708.88</v>
      </c>
      <c r="H125" s="378">
        <f t="shared" si="65"/>
        <v>-0.42349726775956287</v>
      </c>
      <c r="I125" s="377"/>
    </row>
    <row r="126" spans="2:9" x14ac:dyDescent="0.25">
      <c r="B126" s="647">
        <v>42361</v>
      </c>
      <c r="C126" s="376">
        <v>4178</v>
      </c>
      <c r="D126" s="648">
        <v>24.07</v>
      </c>
      <c r="E126" s="377">
        <v>13.96</v>
      </c>
      <c r="F126" s="377">
        <f t="shared" si="63"/>
        <v>-42239.579999999994</v>
      </c>
      <c r="G126" s="377">
        <f t="shared" si="64"/>
        <v>100564.46</v>
      </c>
      <c r="H126" s="378">
        <f t="shared" si="65"/>
        <v>-0.42002492729538843</v>
      </c>
      <c r="I126" s="377"/>
    </row>
    <row r="127" spans="2:9" x14ac:dyDescent="0.25">
      <c r="B127" s="647">
        <v>42361</v>
      </c>
      <c r="C127" s="376">
        <v>4178</v>
      </c>
      <c r="D127" s="648">
        <v>24.03</v>
      </c>
      <c r="E127" s="377">
        <v>13.96</v>
      </c>
      <c r="F127" s="377">
        <f t="shared" si="63"/>
        <v>-42072.46</v>
      </c>
      <c r="G127" s="377">
        <f t="shared" si="64"/>
        <v>100397.34000000001</v>
      </c>
      <c r="H127" s="378">
        <f t="shared" si="65"/>
        <v>-0.41905950894714938</v>
      </c>
      <c r="I127" s="377"/>
    </row>
    <row r="128" spans="2:9" x14ac:dyDescent="0.25">
      <c r="B128" s="647">
        <v>42366</v>
      </c>
      <c r="C128" s="397">
        <v>6678</v>
      </c>
      <c r="D128" s="649">
        <v>19.91</v>
      </c>
      <c r="E128" s="377">
        <v>13.09</v>
      </c>
      <c r="F128" s="377">
        <f t="shared" si="63"/>
        <v>-45543.96</v>
      </c>
      <c r="G128" s="377">
        <f t="shared" si="64"/>
        <v>132958.98000000001</v>
      </c>
      <c r="H128" s="378">
        <f t="shared" si="65"/>
        <v>-0.34254143646408841</v>
      </c>
      <c r="I128" s="377"/>
    </row>
    <row r="129" spans="2:9" x14ac:dyDescent="0.25">
      <c r="B129" s="647">
        <v>42367</v>
      </c>
      <c r="C129" s="397">
        <v>8678</v>
      </c>
      <c r="D129" s="649">
        <v>18.32</v>
      </c>
      <c r="E129" s="377">
        <v>13.03</v>
      </c>
      <c r="F129" s="377">
        <f t="shared" si="63"/>
        <v>-45906.62000000001</v>
      </c>
      <c r="G129" s="377">
        <f t="shared" si="64"/>
        <v>158980.96</v>
      </c>
      <c r="H129" s="378">
        <f t="shared" si="65"/>
        <v>-0.28875545851528389</v>
      </c>
      <c r="I129" s="377"/>
    </row>
    <row r="130" spans="2:9" x14ac:dyDescent="0.25">
      <c r="B130" s="647">
        <v>42368</v>
      </c>
      <c r="C130" s="376">
        <v>9678</v>
      </c>
      <c r="D130" s="648">
        <v>17.73</v>
      </c>
      <c r="E130" s="377">
        <v>12.38</v>
      </c>
      <c r="F130" s="377">
        <f t="shared" si="63"/>
        <v>-51777.299999999996</v>
      </c>
      <c r="G130" s="377">
        <f t="shared" si="64"/>
        <v>171590.94</v>
      </c>
      <c r="H130" s="379">
        <f t="shared" si="65"/>
        <v>-0.30174844895657077</v>
      </c>
      <c r="I130" s="377"/>
    </row>
    <row r="131" spans="2:9" x14ac:dyDescent="0.25">
      <c r="B131" s="647">
        <v>42369</v>
      </c>
      <c r="C131" s="376">
        <v>8678</v>
      </c>
      <c r="D131" s="648">
        <v>18.312999999999999</v>
      </c>
      <c r="E131" s="377">
        <v>12.59</v>
      </c>
      <c r="F131" s="377">
        <f t="shared" si="63"/>
        <v>-49664.193999999989</v>
      </c>
      <c r="G131" s="377">
        <f t="shared" si="64"/>
        <v>158920.21399999998</v>
      </c>
      <c r="H131" s="379">
        <f t="shared" si="65"/>
        <v>-0.3125102386282968</v>
      </c>
      <c r="I131" s="377"/>
    </row>
    <row r="132" spans="2:9" x14ac:dyDescent="0.25">
      <c r="B132" s="647">
        <v>42374</v>
      </c>
      <c r="C132" s="376">
        <v>7678</v>
      </c>
      <c r="D132" s="648">
        <v>19.010000000000002</v>
      </c>
      <c r="E132" s="377">
        <v>12.76</v>
      </c>
      <c r="F132" s="377">
        <f t="shared" si="63"/>
        <v>-47987.500000000015</v>
      </c>
      <c r="G132" s="377">
        <f t="shared" si="64"/>
        <v>145958.78</v>
      </c>
      <c r="H132" s="379">
        <f t="shared" si="65"/>
        <v>-0.32877432930036832</v>
      </c>
      <c r="I132" s="377"/>
    </row>
    <row r="133" spans="2:9" x14ac:dyDescent="0.25">
      <c r="B133" s="647">
        <v>42375</v>
      </c>
      <c r="C133" s="376">
        <v>8678</v>
      </c>
      <c r="D133" s="648">
        <v>18.257000000000001</v>
      </c>
      <c r="E133" s="377">
        <v>12.76</v>
      </c>
      <c r="F133" s="377">
        <f t="shared" si="63"/>
        <v>-47702.966000000015</v>
      </c>
      <c r="G133" s="377">
        <f t="shared" si="64"/>
        <v>158434.24600000001</v>
      </c>
      <c r="H133" s="379">
        <f t="shared" si="65"/>
        <v>-0.30108999287944355</v>
      </c>
      <c r="I133" s="377"/>
    </row>
    <row r="134" spans="2:9" x14ac:dyDescent="0.25">
      <c r="B134" s="647">
        <v>42375</v>
      </c>
      <c r="C134" s="376">
        <v>9678</v>
      </c>
      <c r="D134" s="648">
        <v>17.579999999999998</v>
      </c>
      <c r="E134" s="377">
        <v>11.28</v>
      </c>
      <c r="F134" s="377">
        <f t="shared" si="63"/>
        <v>-60971.399999999987</v>
      </c>
      <c r="G134" s="377">
        <f t="shared" si="64"/>
        <v>170139.24</v>
      </c>
      <c r="H134" s="379">
        <f t="shared" si="65"/>
        <v>-0.35836177474402725</v>
      </c>
      <c r="I134" s="377"/>
    </row>
    <row r="135" spans="2:9" x14ac:dyDescent="0.25">
      <c r="B135" s="647">
        <v>42398</v>
      </c>
      <c r="C135" s="376">
        <v>9278</v>
      </c>
      <c r="D135" s="648">
        <v>17.93</v>
      </c>
      <c r="E135" s="377">
        <v>9.56</v>
      </c>
      <c r="F135" s="377">
        <f t="shared" si="63"/>
        <v>-77656.859999999986</v>
      </c>
      <c r="G135" s="377">
        <f t="shared" si="64"/>
        <v>166354.54</v>
      </c>
      <c r="H135" s="379">
        <f t="shared" si="65"/>
        <v>-0.46681539319576126</v>
      </c>
      <c r="I135" s="377"/>
    </row>
    <row r="136" spans="2:9" x14ac:dyDescent="0.25">
      <c r="B136" s="647">
        <v>42402</v>
      </c>
      <c r="C136" s="376">
        <v>9678</v>
      </c>
      <c r="D136" s="648">
        <v>17.559999999999999</v>
      </c>
      <c r="E136" s="377">
        <v>8.74</v>
      </c>
      <c r="F136" s="377">
        <f t="shared" si="63"/>
        <v>-85359.959999999992</v>
      </c>
      <c r="G136" s="377">
        <f t="shared" si="64"/>
        <v>169945.68</v>
      </c>
      <c r="H136" s="379">
        <f t="shared" si="65"/>
        <v>-0.50227790432801822</v>
      </c>
      <c r="I136" s="377"/>
    </row>
    <row r="137" spans="2:9" x14ac:dyDescent="0.25">
      <c r="B137" s="647">
        <v>42411</v>
      </c>
      <c r="C137" s="376">
        <v>9678</v>
      </c>
      <c r="D137" s="648">
        <v>17.553999999999998</v>
      </c>
      <c r="E137" s="377">
        <v>7.13</v>
      </c>
      <c r="F137" s="377">
        <f t="shared" si="63"/>
        <v>-100883.47199999999</v>
      </c>
      <c r="G137" s="377">
        <f t="shared" si="64"/>
        <v>169887.61199999999</v>
      </c>
      <c r="H137" s="378">
        <f t="shared" si="65"/>
        <v>-0.59382476928335426</v>
      </c>
      <c r="I137" s="377"/>
    </row>
    <row r="138" spans="2:9" x14ac:dyDescent="0.25">
      <c r="B138" s="647">
        <v>42412</v>
      </c>
      <c r="C138" s="376">
        <v>9678</v>
      </c>
      <c r="D138" s="648">
        <v>17.55</v>
      </c>
      <c r="E138" s="377">
        <v>7.46</v>
      </c>
      <c r="F138" s="377">
        <f t="shared" si="63"/>
        <v>-97651.02</v>
      </c>
      <c r="G138" s="377">
        <f t="shared" si="64"/>
        <v>169848.9</v>
      </c>
      <c r="H138" s="378">
        <f t="shared" si="65"/>
        <v>-0.57492877492877492</v>
      </c>
      <c r="I138" s="377"/>
    </row>
    <row r="139" spans="2:9" x14ac:dyDescent="0.25">
      <c r="B139" s="647">
        <v>42416</v>
      </c>
      <c r="C139" s="376">
        <v>9178</v>
      </c>
      <c r="D139" s="648">
        <v>18.084</v>
      </c>
      <c r="E139" s="377">
        <v>7.49</v>
      </c>
      <c r="F139" s="377">
        <f t="shared" si="63"/>
        <v>-97231.731999999989</v>
      </c>
      <c r="G139" s="377">
        <f t="shared" si="64"/>
        <v>165974.95199999999</v>
      </c>
      <c r="H139" s="378">
        <f t="shared" si="65"/>
        <v>-0.58582172085821715</v>
      </c>
      <c r="I139" s="377"/>
    </row>
    <row r="140" spans="2:9" ht="15" customHeight="1" x14ac:dyDescent="0.25">
      <c r="B140" s="647">
        <v>42416</v>
      </c>
      <c r="C140" s="376">
        <v>9678</v>
      </c>
      <c r="D140" s="648">
        <v>17.536999999999999</v>
      </c>
      <c r="E140" s="377">
        <v>7.49</v>
      </c>
      <c r="F140" s="377">
        <f t="shared" si="63"/>
        <v>-97234.865999999995</v>
      </c>
      <c r="G140" s="377">
        <f t="shared" si="64"/>
        <v>169723.08599999998</v>
      </c>
      <c r="H140" s="378">
        <f t="shared" si="65"/>
        <v>-0.57290300507498426</v>
      </c>
      <c r="I140" s="377"/>
    </row>
    <row r="141" spans="2:9" x14ac:dyDescent="0.25">
      <c r="B141" s="647">
        <v>42418</v>
      </c>
      <c r="C141" s="376">
        <v>13478</v>
      </c>
      <c r="D141" s="648">
        <v>14.673999999999999</v>
      </c>
      <c r="E141" s="377">
        <v>6.93</v>
      </c>
      <c r="F141" s="377">
        <f t="shared" si="63"/>
        <v>-104373.632</v>
      </c>
      <c r="G141" s="377">
        <f t="shared" si="64"/>
        <v>197776.17199999999</v>
      </c>
      <c r="H141" s="378">
        <f t="shared" si="65"/>
        <v>-0.52773613193403301</v>
      </c>
      <c r="I141" s="377"/>
    </row>
    <row r="142" spans="2:9" x14ac:dyDescent="0.25">
      <c r="B142" s="647">
        <v>42422</v>
      </c>
      <c r="C142" s="376">
        <v>10978</v>
      </c>
      <c r="D142" s="648">
        <v>16.314</v>
      </c>
      <c r="E142" s="377">
        <v>7.49</v>
      </c>
      <c r="F142" s="377">
        <f t="shared" si="63"/>
        <v>-96869.872000000003</v>
      </c>
      <c r="G142" s="377">
        <f>IF(C142=0, 0,D142*C142)</f>
        <v>179095.092</v>
      </c>
      <c r="H142" s="378">
        <f>IF(C142=0, D142, (E142-D142)/D142)</f>
        <v>-0.54088512933676591</v>
      </c>
      <c r="I142" s="377"/>
    </row>
    <row r="143" spans="2:9" x14ac:dyDescent="0.25">
      <c r="B143" s="647">
        <v>42422</v>
      </c>
      <c r="C143" s="376">
        <v>9978</v>
      </c>
      <c r="D143" s="648">
        <v>17.199000000000002</v>
      </c>
      <c r="E143" s="377">
        <v>7.49</v>
      </c>
      <c r="F143" s="377">
        <f t="shared" si="63"/>
        <v>-96876.402000000016</v>
      </c>
      <c r="G143" s="377">
        <f>IF(C143=0, 0,D143*C143)</f>
        <v>171611.622</v>
      </c>
      <c r="H143" s="378">
        <f>IF(C143=0, D143, (E143-D143)/D143)</f>
        <v>-0.56450956450956458</v>
      </c>
      <c r="I143" s="377"/>
    </row>
    <row r="144" spans="2:9" x14ac:dyDescent="0.25">
      <c r="B144" s="647">
        <v>42426</v>
      </c>
      <c r="C144" s="376">
        <v>9678</v>
      </c>
      <c r="D144" s="648">
        <v>17.489000000000001</v>
      </c>
      <c r="E144" s="377">
        <v>7.49</v>
      </c>
      <c r="F144" s="377">
        <f t="shared" ref="F144:F152" si="66">C144*(E144-D144)</f>
        <v>-96770.322</v>
      </c>
      <c r="G144" s="377">
        <f>IF(C144=0, 0,D144*C144)</f>
        <v>169258.54200000002</v>
      </c>
      <c r="H144" s="378">
        <f>IF(C144=0, D144, (E144-D144)/D144)</f>
        <v>-0.57173080221853734</v>
      </c>
      <c r="I144" s="377"/>
    </row>
    <row r="145" spans="2:14" x14ac:dyDescent="0.25">
      <c r="B145" s="647">
        <v>42426</v>
      </c>
      <c r="C145" s="376">
        <v>9178</v>
      </c>
      <c r="D145" s="648">
        <v>18.02</v>
      </c>
      <c r="E145" s="377">
        <v>7.76</v>
      </c>
      <c r="F145" s="377">
        <f t="shared" si="66"/>
        <v>-94166.28</v>
      </c>
      <c r="G145" s="377">
        <f t="shared" ref="G145:G152" si="67">IF(C145=0, 0,D145*C145)</f>
        <v>165387.56</v>
      </c>
      <c r="H145" s="378">
        <f t="shared" ref="H145:H152" si="68">IF(C145=0, D145, (E145-D145)/D145)</f>
        <v>-0.5693673695893452</v>
      </c>
      <c r="I145" s="377"/>
    </row>
    <row r="146" spans="2:14" x14ac:dyDescent="0.25">
      <c r="B146" s="647">
        <v>42426</v>
      </c>
      <c r="C146" s="376">
        <v>8178</v>
      </c>
      <c r="D146" s="648">
        <v>19.245999999999999</v>
      </c>
      <c r="E146" s="377">
        <v>8</v>
      </c>
      <c r="F146" s="377">
        <f t="shared" si="66"/>
        <v>-91969.787999999986</v>
      </c>
      <c r="G146" s="377">
        <f t="shared" si="67"/>
        <v>157393.788</v>
      </c>
      <c r="H146" s="378">
        <f t="shared" si="68"/>
        <v>-0.58432921126467829</v>
      </c>
      <c r="I146" s="377"/>
    </row>
    <row r="147" spans="2:14" x14ac:dyDescent="0.25">
      <c r="B147" s="647">
        <v>42426</v>
      </c>
      <c r="C147" s="376">
        <v>6678</v>
      </c>
      <c r="D147" s="648">
        <v>21.75</v>
      </c>
      <c r="E147" s="377">
        <v>8.1</v>
      </c>
      <c r="F147" s="377">
        <f t="shared" si="66"/>
        <v>-91154.7</v>
      </c>
      <c r="G147" s="377">
        <f t="shared" si="67"/>
        <v>145246.5</v>
      </c>
      <c r="H147" s="378">
        <f t="shared" si="68"/>
        <v>-0.62758620689655176</v>
      </c>
      <c r="I147" s="377"/>
    </row>
    <row r="148" spans="2:14" x14ac:dyDescent="0.25">
      <c r="B148" s="647">
        <v>42426</v>
      </c>
      <c r="C148" s="376">
        <v>8678</v>
      </c>
      <c r="D148" s="648">
        <v>18.568999999999999</v>
      </c>
      <c r="E148" s="377">
        <v>7.94</v>
      </c>
      <c r="F148" s="377">
        <f t="shared" si="66"/>
        <v>-92238.461999999985</v>
      </c>
      <c r="G148" s="377">
        <f t="shared" si="67"/>
        <v>161141.78199999998</v>
      </c>
      <c r="H148" s="378">
        <f t="shared" si="68"/>
        <v>-0.57240562227368186</v>
      </c>
      <c r="I148" s="377"/>
    </row>
    <row r="149" spans="2:14" x14ac:dyDescent="0.25">
      <c r="B149" s="647">
        <v>42429</v>
      </c>
      <c r="C149" s="376">
        <v>7678</v>
      </c>
      <c r="D149" s="648">
        <v>19.876000000000001</v>
      </c>
      <c r="E149" s="377">
        <v>8.2100000000000009</v>
      </c>
      <c r="F149" s="377">
        <f t="shared" si="66"/>
        <v>-89571.54800000001</v>
      </c>
      <c r="G149" s="377">
        <f t="shared" si="67"/>
        <v>152607.92800000001</v>
      </c>
      <c r="H149" s="378">
        <f t="shared" si="68"/>
        <v>-0.58693902193600322</v>
      </c>
      <c r="I149" s="377"/>
    </row>
    <row r="150" spans="2:14" x14ac:dyDescent="0.25">
      <c r="B150" s="647">
        <v>42429</v>
      </c>
      <c r="C150" s="376">
        <v>9678</v>
      </c>
      <c r="D150" s="648">
        <v>17.463000000000001</v>
      </c>
      <c r="E150" s="377">
        <v>8.2100000000000009</v>
      </c>
      <c r="F150" s="377">
        <f t="shared" si="66"/>
        <v>-89550.534</v>
      </c>
      <c r="G150" s="377">
        <f t="shared" si="67"/>
        <v>169006.91400000002</v>
      </c>
      <c r="H150" s="378">
        <f t="shared" si="68"/>
        <v>-0.5298631392086125</v>
      </c>
      <c r="I150" s="377"/>
    </row>
    <row r="151" spans="2:14" x14ac:dyDescent="0.25">
      <c r="B151" s="647">
        <v>42429</v>
      </c>
      <c r="C151" s="376">
        <v>9178</v>
      </c>
      <c r="D151" s="648">
        <v>17.981000000000002</v>
      </c>
      <c r="E151" s="377">
        <v>8.2100000000000009</v>
      </c>
      <c r="F151" s="377">
        <f t="shared" si="66"/>
        <v>-89678.238000000012</v>
      </c>
      <c r="G151" s="377">
        <f t="shared" si="67"/>
        <v>165029.61800000002</v>
      </c>
      <c r="H151" s="378">
        <f t="shared" si="68"/>
        <v>-0.5434069295367332</v>
      </c>
      <c r="I151" s="377"/>
    </row>
    <row r="152" spans="2:14" x14ac:dyDescent="0.25">
      <c r="B152" s="647">
        <v>42429</v>
      </c>
      <c r="C152" s="376">
        <v>9678</v>
      </c>
      <c r="D152" s="648">
        <v>17.459</v>
      </c>
      <c r="E152" s="377">
        <v>8.2100000000000009</v>
      </c>
      <c r="F152" s="377">
        <f t="shared" si="66"/>
        <v>-89511.821999999986</v>
      </c>
      <c r="G152" s="377">
        <f t="shared" si="67"/>
        <v>168968.20199999999</v>
      </c>
      <c r="H152" s="378">
        <f t="shared" si="68"/>
        <v>-0.5297554270004009</v>
      </c>
      <c r="I152" s="377"/>
    </row>
    <row r="153" spans="2:14" x14ac:dyDescent="0.25">
      <c r="B153" s="647">
        <v>42429</v>
      </c>
      <c r="C153" s="376">
        <v>9178</v>
      </c>
      <c r="D153" s="648">
        <v>17.975999999999999</v>
      </c>
      <c r="E153" s="377">
        <v>8.2100000000000009</v>
      </c>
      <c r="F153" s="377">
        <f t="shared" ref="F153:F164" si="69">C153*(E153-D153)</f>
        <v>-89632.347999999984</v>
      </c>
      <c r="G153" s="377">
        <f t="shared" ref="G153:G164" si="70">IF(C153=0, 0,D153*C153)</f>
        <v>164983.728</v>
      </c>
      <c r="H153" s="378">
        <f t="shared" ref="H153:H204" si="71">IF(C153=0, D153, (E153-D153)/D153)</f>
        <v>-0.54327992879394738</v>
      </c>
      <c r="I153" s="377" t="s">
        <v>187</v>
      </c>
    </row>
    <row r="154" spans="2:14" ht="15" customHeight="1" x14ac:dyDescent="0.25">
      <c r="B154" s="647">
        <v>42430</v>
      </c>
      <c r="C154" s="397">
        <v>10178</v>
      </c>
      <c r="D154" s="649">
        <v>16.974</v>
      </c>
      <c r="E154" s="377">
        <v>7.8</v>
      </c>
      <c r="F154" s="377">
        <f t="shared" si="69"/>
        <v>-93372.971999999994</v>
      </c>
      <c r="G154" s="377">
        <f t="shared" si="70"/>
        <v>172761.372</v>
      </c>
      <c r="H154" s="378">
        <f t="shared" si="71"/>
        <v>-0.54047366560622123</v>
      </c>
      <c r="I154" s="377"/>
    </row>
    <row r="155" spans="2:14" x14ac:dyDescent="0.25">
      <c r="B155" s="647">
        <v>42430</v>
      </c>
      <c r="C155" s="397">
        <v>9678</v>
      </c>
      <c r="D155" s="649">
        <v>17.440000000000001</v>
      </c>
      <c r="E155" s="377">
        <v>7.96</v>
      </c>
      <c r="F155" s="377">
        <f t="shared" si="69"/>
        <v>-91747.44</v>
      </c>
      <c r="G155" s="377">
        <f t="shared" si="70"/>
        <v>168784.32</v>
      </c>
      <c r="H155" s="378">
        <f t="shared" si="71"/>
        <v>-0.54357798165137616</v>
      </c>
      <c r="I155" s="377"/>
    </row>
    <row r="156" spans="2:14" x14ac:dyDescent="0.25">
      <c r="B156" s="647">
        <v>42431</v>
      </c>
      <c r="C156" s="376">
        <v>8678</v>
      </c>
      <c r="D156" s="648">
        <v>18.405999999999999</v>
      </c>
      <c r="E156" s="377">
        <v>9.1</v>
      </c>
      <c r="F156" s="377">
        <f t="shared" si="69"/>
        <v>-80757.467999999993</v>
      </c>
      <c r="G156" s="377">
        <f t="shared" si="70"/>
        <v>159727.26799999998</v>
      </c>
      <c r="H156" s="379">
        <f t="shared" si="71"/>
        <v>-0.50559600130392257</v>
      </c>
      <c r="I156" s="377"/>
    </row>
    <row r="157" spans="2:14" x14ac:dyDescent="0.25">
      <c r="B157" s="647">
        <v>42432</v>
      </c>
      <c r="C157" s="376">
        <v>9278</v>
      </c>
      <c r="D157" s="648">
        <v>17.771999999999998</v>
      </c>
      <c r="E157" s="377">
        <v>9.9700000000000006</v>
      </c>
      <c r="F157" s="377">
        <f t="shared" si="69"/>
        <v>-72386.955999999976</v>
      </c>
      <c r="G157" s="377">
        <f t="shared" si="70"/>
        <v>164888.61599999998</v>
      </c>
      <c r="H157" s="379">
        <f t="shared" si="71"/>
        <v>-0.43900517668242173</v>
      </c>
      <c r="I157" s="377"/>
      <c r="N157" s="71"/>
    </row>
    <row r="158" spans="2:14" x14ac:dyDescent="0.25">
      <c r="B158" s="647">
        <v>42433</v>
      </c>
      <c r="C158" s="376">
        <v>9278</v>
      </c>
      <c r="D158" s="648">
        <v>17.771999999999998</v>
      </c>
      <c r="E158" s="377">
        <v>11</v>
      </c>
      <c r="F158" s="377">
        <f t="shared" si="69"/>
        <v>-62830.615999999987</v>
      </c>
      <c r="G158" s="377">
        <f t="shared" si="70"/>
        <v>164888.61599999998</v>
      </c>
      <c r="H158" s="379">
        <f t="shared" si="71"/>
        <v>-0.38104884087328378</v>
      </c>
      <c r="I158" s="377"/>
    </row>
    <row r="159" spans="2:14" x14ac:dyDescent="0.25">
      <c r="B159" s="647">
        <v>42439</v>
      </c>
      <c r="C159" s="376">
        <v>9278</v>
      </c>
      <c r="D159" s="648">
        <v>17.718</v>
      </c>
      <c r="E159" s="377">
        <v>10.59</v>
      </c>
      <c r="F159" s="377">
        <f t="shared" si="69"/>
        <v>-66133.584000000003</v>
      </c>
      <c r="G159" s="377">
        <f t="shared" si="70"/>
        <v>164387.60399999999</v>
      </c>
      <c r="H159" s="379">
        <f t="shared" si="71"/>
        <v>-0.40230274297324753</v>
      </c>
      <c r="I159" s="377" t="s">
        <v>186</v>
      </c>
    </row>
    <row r="160" spans="2:14" x14ac:dyDescent="0.25">
      <c r="B160" s="647">
        <v>42440</v>
      </c>
      <c r="C160" s="376">
        <v>9278</v>
      </c>
      <c r="D160" s="648">
        <v>17.712</v>
      </c>
      <c r="E160" s="377">
        <v>11.12</v>
      </c>
      <c r="F160" s="377">
        <f t="shared" si="69"/>
        <v>-61160.576000000008</v>
      </c>
      <c r="G160" s="377">
        <f t="shared" si="70"/>
        <v>164331.93599999999</v>
      </c>
      <c r="H160" s="379">
        <f t="shared" si="71"/>
        <v>-0.37217705510388438</v>
      </c>
      <c r="I160" s="377"/>
    </row>
    <row r="161" spans="2:9" x14ac:dyDescent="0.25">
      <c r="B161" s="647">
        <v>42446</v>
      </c>
      <c r="C161" s="376">
        <v>9278</v>
      </c>
      <c r="D161" s="648">
        <v>17.704999999999998</v>
      </c>
      <c r="E161" s="377">
        <v>11.45</v>
      </c>
      <c r="F161" s="377">
        <f t="shared" si="69"/>
        <v>-58033.889999999992</v>
      </c>
      <c r="G161" s="377">
        <f t="shared" si="70"/>
        <v>164266.99</v>
      </c>
      <c r="H161" s="379">
        <f t="shared" si="71"/>
        <v>-0.353290031064671</v>
      </c>
      <c r="I161" s="377"/>
    </row>
    <row r="162" spans="2:9" x14ac:dyDescent="0.25">
      <c r="B162" s="647">
        <v>42447</v>
      </c>
      <c r="C162" s="376">
        <v>7928</v>
      </c>
      <c r="D162" s="648">
        <v>18.734999999999999</v>
      </c>
      <c r="E162" s="377">
        <v>11.63</v>
      </c>
      <c r="F162" s="377">
        <f t="shared" si="69"/>
        <v>-56328.439999999988</v>
      </c>
      <c r="G162" s="377">
        <f t="shared" si="70"/>
        <v>148531.07999999999</v>
      </c>
      <c r="H162" s="379">
        <f t="shared" si="71"/>
        <v>-0.37923672271150249</v>
      </c>
      <c r="I162" s="377"/>
    </row>
    <row r="163" spans="2:9" x14ac:dyDescent="0.25">
      <c r="B163" s="647">
        <v>42450</v>
      </c>
      <c r="C163" s="376">
        <v>9278</v>
      </c>
      <c r="D163" s="648">
        <v>17.670000000000002</v>
      </c>
      <c r="E163" s="377">
        <v>11.43</v>
      </c>
      <c r="F163" s="377">
        <f t="shared" si="69"/>
        <v>-57894.720000000016</v>
      </c>
      <c r="G163" s="377">
        <f t="shared" si="70"/>
        <v>163942.26</v>
      </c>
      <c r="H163" s="378">
        <f t="shared" si="71"/>
        <v>-0.35314091680814946</v>
      </c>
      <c r="I163" s="377"/>
    </row>
    <row r="164" spans="2:9" x14ac:dyDescent="0.25">
      <c r="B164" s="647">
        <v>42451</v>
      </c>
      <c r="C164" s="376">
        <v>9628</v>
      </c>
      <c r="D164" s="648">
        <v>17.428000000000001</v>
      </c>
      <c r="E164" s="377">
        <v>11.31</v>
      </c>
      <c r="F164" s="377">
        <f t="shared" si="69"/>
        <v>-58904.104000000007</v>
      </c>
      <c r="G164" s="377">
        <f t="shared" si="70"/>
        <v>167796.78400000001</v>
      </c>
      <c r="H164" s="378">
        <f t="shared" si="71"/>
        <v>-0.35104429653431263</v>
      </c>
      <c r="I164" s="377"/>
    </row>
    <row r="165" spans="2:9" x14ac:dyDescent="0.25">
      <c r="B165" s="647">
        <v>42453</v>
      </c>
      <c r="C165" s="376">
        <v>13278</v>
      </c>
      <c r="D165" s="648">
        <v>15.5565</v>
      </c>
      <c r="E165" s="377">
        <v>10.29</v>
      </c>
      <c r="F165" s="377">
        <f t="shared" ref="F165:F204" si="72">C165*(E165-D165)</f>
        <v>-69928.587000000014</v>
      </c>
      <c r="G165" s="377">
        <f t="shared" ref="G165:G204" si="73">IF(C165=0, 0,D165*C165)</f>
        <v>206559.20699999999</v>
      </c>
      <c r="H165" s="378">
        <f t="shared" si="71"/>
        <v>-0.33854016006171056</v>
      </c>
      <c r="I165" s="377"/>
    </row>
    <row r="166" spans="2:9" x14ac:dyDescent="0.25">
      <c r="B166" s="647">
        <v>42459</v>
      </c>
      <c r="C166" s="376">
        <v>11278</v>
      </c>
      <c r="D166" s="648">
        <v>16.408899999999999</v>
      </c>
      <c r="E166" s="377">
        <v>10.53</v>
      </c>
      <c r="F166" s="377">
        <f t="shared" si="72"/>
        <v>-66302.234199999992</v>
      </c>
      <c r="G166" s="377">
        <f t="shared" si="73"/>
        <v>185059.5742</v>
      </c>
      <c r="H166" s="378">
        <f t="shared" si="71"/>
        <v>-0.35827508242478168</v>
      </c>
      <c r="I166" s="377"/>
    </row>
    <row r="167" spans="2:9" x14ac:dyDescent="0.25">
      <c r="B167" s="647">
        <v>42460</v>
      </c>
      <c r="C167" s="376">
        <v>9678</v>
      </c>
      <c r="D167" s="648">
        <v>17.311699999999998</v>
      </c>
      <c r="E167" s="377">
        <v>11.14</v>
      </c>
      <c r="F167" s="377">
        <f t="shared" si="72"/>
        <v>-59729.712599999977</v>
      </c>
      <c r="G167" s="377">
        <f t="shared" si="73"/>
        <v>167542.63259999998</v>
      </c>
      <c r="H167" s="378">
        <f t="shared" si="71"/>
        <v>-0.35650456049954643</v>
      </c>
      <c r="I167" s="377"/>
    </row>
    <row r="168" spans="2:9" x14ac:dyDescent="0.25">
      <c r="B168" s="647">
        <v>42461</v>
      </c>
      <c r="C168" s="376">
        <v>11678</v>
      </c>
      <c r="D168" s="648">
        <v>16.116</v>
      </c>
      <c r="E168" s="377">
        <v>10.53</v>
      </c>
      <c r="F168" s="377">
        <f t="shared" si="72"/>
        <v>-65233.308000000005</v>
      </c>
      <c r="G168" s="377">
        <f t="shared" si="73"/>
        <v>188202.64799999999</v>
      </c>
      <c r="H168" s="378">
        <f t="shared" si="71"/>
        <v>-0.34661206254653765</v>
      </c>
      <c r="I168" s="377"/>
    </row>
    <row r="169" spans="2:9" x14ac:dyDescent="0.25">
      <c r="B169" s="647">
        <v>42461</v>
      </c>
      <c r="C169" s="376">
        <v>9678</v>
      </c>
      <c r="D169" s="648">
        <v>17.266200000000001</v>
      </c>
      <c r="E169" s="377">
        <v>10.56</v>
      </c>
      <c r="F169" s="377">
        <f t="shared" si="72"/>
        <v>-64902.603600000009</v>
      </c>
      <c r="G169" s="377">
        <f t="shared" si="73"/>
        <v>167102.28360000002</v>
      </c>
      <c r="H169" s="378">
        <f t="shared" si="71"/>
        <v>-0.388400458699656</v>
      </c>
      <c r="I169" s="377"/>
    </row>
    <row r="170" spans="2:9" x14ac:dyDescent="0.25">
      <c r="B170" s="647">
        <v>42464</v>
      </c>
      <c r="C170" s="376">
        <v>9778</v>
      </c>
      <c r="D170" s="648">
        <v>17.196100000000001</v>
      </c>
      <c r="E170" s="377">
        <v>10.4</v>
      </c>
      <c r="F170" s="377">
        <f t="shared" si="72"/>
        <v>-66452.265800000008</v>
      </c>
      <c r="G170" s="377">
        <f t="shared" si="73"/>
        <v>168143.46580000001</v>
      </c>
      <c r="H170" s="378">
        <f t="shared" si="71"/>
        <v>-0.3952117049796175</v>
      </c>
      <c r="I170" s="377"/>
    </row>
    <row r="171" spans="2:9" x14ac:dyDescent="0.25">
      <c r="B171" s="647">
        <v>42465</v>
      </c>
      <c r="C171" s="376">
        <v>9678</v>
      </c>
      <c r="D171" s="648">
        <v>17.262699999999999</v>
      </c>
      <c r="E171" s="377">
        <v>10.63</v>
      </c>
      <c r="F171" s="377">
        <f t="shared" si="72"/>
        <v>-64191.270599999982</v>
      </c>
      <c r="G171" s="377">
        <f t="shared" si="73"/>
        <v>167068.4106</v>
      </c>
      <c r="H171" s="378">
        <f t="shared" si="71"/>
        <v>-0.38422147172806098</v>
      </c>
      <c r="I171" s="377"/>
    </row>
    <row r="172" spans="2:9" x14ac:dyDescent="0.25">
      <c r="B172" s="647">
        <v>42469</v>
      </c>
      <c r="C172" s="376">
        <v>8678</v>
      </c>
      <c r="D172" s="648">
        <v>17.895700000000001</v>
      </c>
      <c r="E172" s="377">
        <v>11.78</v>
      </c>
      <c r="F172" s="377">
        <f t="shared" si="72"/>
        <v>-53072.044600000016</v>
      </c>
      <c r="G172" s="377">
        <f t="shared" si="73"/>
        <v>155298.88460000002</v>
      </c>
      <c r="H172" s="378">
        <f t="shared" si="71"/>
        <v>-0.34174131215878684</v>
      </c>
      <c r="I172" s="377"/>
    </row>
    <row r="173" spans="2:9" x14ac:dyDescent="0.25">
      <c r="B173" s="647">
        <v>42471</v>
      </c>
      <c r="C173" s="376">
        <v>9678</v>
      </c>
      <c r="D173" s="648">
        <v>17.2514</v>
      </c>
      <c r="E173" s="377">
        <v>11.67</v>
      </c>
      <c r="F173" s="377">
        <f t="shared" si="72"/>
        <v>-54016.789200000007</v>
      </c>
      <c r="G173" s="377">
        <f t="shared" si="73"/>
        <v>166959.04920000001</v>
      </c>
      <c r="H173" s="378">
        <f t="shared" si="71"/>
        <v>-0.32353316252593994</v>
      </c>
      <c r="I173" s="377"/>
    </row>
    <row r="174" spans="2:9" x14ac:dyDescent="0.25">
      <c r="B174" s="647">
        <v>42472</v>
      </c>
      <c r="C174" s="376">
        <v>8288</v>
      </c>
      <c r="D174" s="648">
        <v>17.96</v>
      </c>
      <c r="E174" s="377">
        <v>13.05</v>
      </c>
      <c r="F174" s="377">
        <f t="shared" si="72"/>
        <v>-40694.080000000002</v>
      </c>
      <c r="G174" s="377">
        <f t="shared" si="73"/>
        <v>148852.48000000001</v>
      </c>
      <c r="H174" s="378">
        <f t="shared" si="71"/>
        <v>-0.27338530066815142</v>
      </c>
      <c r="I174" s="377"/>
    </row>
    <row r="175" spans="2:9" x14ac:dyDescent="0.25">
      <c r="B175" s="647">
        <v>42473</v>
      </c>
      <c r="C175" s="376">
        <v>9258</v>
      </c>
      <c r="D175" s="648">
        <v>17.415800000000001</v>
      </c>
      <c r="E175" s="377">
        <v>12.92</v>
      </c>
      <c r="F175" s="377">
        <f t="shared" si="72"/>
        <v>-41622.116400000006</v>
      </c>
      <c r="G175" s="377">
        <f t="shared" si="73"/>
        <v>161235.47640000001</v>
      </c>
      <c r="H175" s="378">
        <f t="shared" si="71"/>
        <v>-0.2581449029042594</v>
      </c>
      <c r="I175" s="377"/>
    </row>
    <row r="176" spans="2:9" x14ac:dyDescent="0.25">
      <c r="B176" s="647">
        <v>42474</v>
      </c>
      <c r="C176" s="376">
        <v>9678</v>
      </c>
      <c r="D176" s="648">
        <v>17.2135</v>
      </c>
      <c r="E176" s="377">
        <v>13.11</v>
      </c>
      <c r="F176" s="377">
        <f t="shared" si="72"/>
        <v>-39713.673000000003</v>
      </c>
      <c r="G176" s="377">
        <f t="shared" si="73"/>
        <v>166592.253</v>
      </c>
      <c r="H176" s="378">
        <f t="shared" si="71"/>
        <v>-0.23838847416272113</v>
      </c>
      <c r="I176" s="377"/>
    </row>
    <row r="177" spans="2:15" x14ac:dyDescent="0.25">
      <c r="B177" s="647">
        <v>42474</v>
      </c>
      <c r="C177" s="376">
        <v>9178</v>
      </c>
      <c r="D177" s="648">
        <v>17.433299999999999</v>
      </c>
      <c r="E177" s="377">
        <v>13.11</v>
      </c>
      <c r="F177" s="377">
        <f t="shared" si="72"/>
        <v>-39679.2474</v>
      </c>
      <c r="G177" s="377">
        <f t="shared" si="73"/>
        <v>160002.82739999998</v>
      </c>
      <c r="H177" s="378">
        <f t="shared" si="71"/>
        <v>-0.24799091394056202</v>
      </c>
      <c r="I177" s="377"/>
    </row>
    <row r="178" spans="2:15" x14ac:dyDescent="0.25">
      <c r="B178" s="647">
        <v>42475</v>
      </c>
      <c r="C178" s="376">
        <v>9678</v>
      </c>
      <c r="D178" s="648">
        <v>17.205100000000002</v>
      </c>
      <c r="E178" s="377">
        <v>13.01</v>
      </c>
      <c r="F178" s="377">
        <f t="shared" si="72"/>
        <v>-40600.177800000019</v>
      </c>
      <c r="G178" s="377">
        <f t="shared" si="73"/>
        <v>166510.9578</v>
      </c>
      <c r="H178" s="378">
        <f t="shared" si="71"/>
        <v>-0.24382886469709572</v>
      </c>
      <c r="I178" s="377"/>
    </row>
    <row r="179" spans="2:15" x14ac:dyDescent="0.25">
      <c r="B179" s="647">
        <v>42478</v>
      </c>
      <c r="C179" s="376">
        <v>9178</v>
      </c>
      <c r="D179" s="648">
        <v>17.412400000000002</v>
      </c>
      <c r="E179" s="377">
        <v>13.36</v>
      </c>
      <c r="F179" s="377">
        <f t="shared" si="72"/>
        <v>-37192.92720000002</v>
      </c>
      <c r="G179" s="377">
        <f t="shared" si="73"/>
        <v>159811.00720000002</v>
      </c>
      <c r="H179" s="378">
        <f t="shared" si="71"/>
        <v>-0.232730697663734</v>
      </c>
      <c r="I179" s="377"/>
    </row>
    <row r="180" spans="2:15" x14ac:dyDescent="0.25">
      <c r="B180" s="647">
        <v>42484</v>
      </c>
      <c r="C180" s="397">
        <v>9178</v>
      </c>
      <c r="D180" s="649">
        <v>17.412400000000002</v>
      </c>
      <c r="E180" s="377">
        <v>14.34</v>
      </c>
      <c r="F180" s="377">
        <f t="shared" si="72"/>
        <v>-28198.487200000018</v>
      </c>
      <c r="G180" s="377">
        <f t="shared" si="73"/>
        <v>159811.00720000002</v>
      </c>
      <c r="H180" s="378">
        <f t="shared" si="71"/>
        <v>-0.17644896740254082</v>
      </c>
      <c r="I180" s="377"/>
    </row>
    <row r="181" spans="2:15" x14ac:dyDescent="0.25">
      <c r="B181" s="647">
        <v>42485</v>
      </c>
      <c r="C181" s="397">
        <v>9678</v>
      </c>
      <c r="D181" s="649">
        <v>17.233499999999999</v>
      </c>
      <c r="E181" s="377">
        <v>13.83</v>
      </c>
      <c r="F181" s="377">
        <f t="shared" si="72"/>
        <v>-32939.072999999997</v>
      </c>
      <c r="G181" s="377">
        <f t="shared" si="73"/>
        <v>166785.81299999999</v>
      </c>
      <c r="H181" s="378">
        <f t="shared" si="71"/>
        <v>-0.19749325441726867</v>
      </c>
      <c r="I181" s="377"/>
      <c r="O181" s="2"/>
    </row>
    <row r="182" spans="2:15" x14ac:dyDescent="0.25">
      <c r="B182" s="647">
        <v>42486</v>
      </c>
      <c r="C182" s="376">
        <v>9178</v>
      </c>
      <c r="D182" s="648">
        <v>17.390599999999999</v>
      </c>
      <c r="E182" s="377">
        <v>14.44</v>
      </c>
      <c r="F182" s="377">
        <f t="shared" si="72"/>
        <v>-27080.606799999998</v>
      </c>
      <c r="G182" s="377">
        <f t="shared" si="73"/>
        <v>159610.92679999999</v>
      </c>
      <c r="H182" s="379">
        <f t="shared" si="71"/>
        <v>-0.16966637148804525</v>
      </c>
      <c r="I182" s="377"/>
    </row>
    <row r="183" spans="2:15" ht="15" customHeight="1" x14ac:dyDescent="0.25">
      <c r="B183" s="647">
        <v>42487</v>
      </c>
      <c r="C183" s="376">
        <v>9178</v>
      </c>
      <c r="D183" s="648">
        <v>17.376300000000001</v>
      </c>
      <c r="E183" s="377">
        <v>14.84</v>
      </c>
      <c r="F183" s="377">
        <f t="shared" si="72"/>
        <v>-23278.161400000005</v>
      </c>
      <c r="G183" s="377">
        <f t="shared" si="73"/>
        <v>159479.6814</v>
      </c>
      <c r="H183" s="379">
        <f t="shared" si="71"/>
        <v>-0.14596317973331496</v>
      </c>
      <c r="I183" s="377"/>
    </row>
    <row r="184" spans="2:15" x14ac:dyDescent="0.25">
      <c r="B184" s="647">
        <v>42488</v>
      </c>
      <c r="C184" s="376">
        <v>9678</v>
      </c>
      <c r="D184" s="648">
        <v>17.2287</v>
      </c>
      <c r="E184" s="377">
        <v>14.35</v>
      </c>
      <c r="F184" s="377">
        <f t="shared" si="72"/>
        <v>-27860.058600000004</v>
      </c>
      <c r="G184" s="377">
        <f t="shared" si="73"/>
        <v>166739.35860000001</v>
      </c>
      <c r="H184" s="379">
        <f t="shared" si="71"/>
        <v>-0.16708747612994598</v>
      </c>
      <c r="I184" s="377"/>
    </row>
    <row r="185" spans="2:15" x14ac:dyDescent="0.25">
      <c r="B185" s="647">
        <v>42489</v>
      </c>
      <c r="C185" s="376">
        <v>9678</v>
      </c>
      <c r="D185" s="648">
        <v>17.179200000000002</v>
      </c>
      <c r="E185" s="377">
        <v>14.09</v>
      </c>
      <c r="F185" s="377">
        <f t="shared" si="72"/>
        <v>-29897.277600000016</v>
      </c>
      <c r="G185" s="377">
        <f t="shared" si="73"/>
        <v>166260.29760000002</v>
      </c>
      <c r="H185" s="379">
        <f t="shared" si="71"/>
        <v>-0.17982211045916</v>
      </c>
      <c r="I185" s="377"/>
    </row>
    <row r="186" spans="2:15" x14ac:dyDescent="0.25">
      <c r="B186" s="647">
        <v>42492</v>
      </c>
      <c r="C186" s="376">
        <v>9678</v>
      </c>
      <c r="D186" s="648">
        <v>17.136399999999998</v>
      </c>
      <c r="E186" s="377">
        <v>13.55</v>
      </c>
      <c r="F186" s="377">
        <f t="shared" si="72"/>
        <v>-34709.179199999977</v>
      </c>
      <c r="G186" s="377">
        <f t="shared" si="73"/>
        <v>165846.07919999998</v>
      </c>
      <c r="H186" s="379">
        <f t="shared" si="71"/>
        <v>-0.20928549753740563</v>
      </c>
      <c r="I186" s="377"/>
    </row>
    <row r="187" spans="2:15" x14ac:dyDescent="0.25">
      <c r="B187" s="647">
        <v>42493</v>
      </c>
      <c r="C187" s="376">
        <v>9678</v>
      </c>
      <c r="D187" s="648">
        <v>17.1221</v>
      </c>
      <c r="E187" s="377">
        <v>12.79</v>
      </c>
      <c r="F187" s="377">
        <f t="shared" si="72"/>
        <v>-41926.063800000004</v>
      </c>
      <c r="G187" s="377">
        <f t="shared" si="73"/>
        <v>165707.6838</v>
      </c>
      <c r="H187" s="379">
        <f t="shared" si="71"/>
        <v>-0.25301218892542388</v>
      </c>
      <c r="I187" s="377"/>
    </row>
    <row r="188" spans="2:15" x14ac:dyDescent="0.25">
      <c r="B188" s="647">
        <v>42494</v>
      </c>
      <c r="C188" s="376">
        <v>11678</v>
      </c>
      <c r="D188" s="648">
        <v>16.316800000000001</v>
      </c>
      <c r="E188" s="377">
        <v>12.17</v>
      </c>
      <c r="F188" s="377">
        <f t="shared" si="72"/>
        <v>-48426.330400000006</v>
      </c>
      <c r="G188" s="377">
        <f t="shared" si="73"/>
        <v>190547.59040000002</v>
      </c>
      <c r="H188" s="379">
        <f t="shared" si="71"/>
        <v>-0.25414296920964896</v>
      </c>
      <c r="I188" s="377"/>
    </row>
    <row r="189" spans="2:15" x14ac:dyDescent="0.25">
      <c r="B189" s="647">
        <v>42495</v>
      </c>
      <c r="C189" s="376">
        <v>9678</v>
      </c>
      <c r="D189" s="648">
        <v>17.0684</v>
      </c>
      <c r="E189" s="377">
        <v>12.07</v>
      </c>
      <c r="F189" s="377">
        <f t="shared" si="72"/>
        <v>-48374.515200000002</v>
      </c>
      <c r="G189" s="377">
        <f t="shared" si="73"/>
        <v>165187.97520000002</v>
      </c>
      <c r="H189" s="378">
        <f t="shared" si="71"/>
        <v>-0.29284525790349419</v>
      </c>
      <c r="I189" s="377"/>
    </row>
    <row r="190" spans="2:15" x14ac:dyDescent="0.25">
      <c r="B190" s="647">
        <v>42499</v>
      </c>
      <c r="C190" s="376">
        <v>10678</v>
      </c>
      <c r="D190" s="648">
        <v>16.537600000000001</v>
      </c>
      <c r="E190" s="377">
        <v>11.44</v>
      </c>
      <c r="F190" s="377">
        <f t="shared" si="72"/>
        <v>-54432.172800000015</v>
      </c>
      <c r="G190" s="377">
        <f t="shared" si="73"/>
        <v>176588.49280000001</v>
      </c>
      <c r="H190" s="378">
        <f t="shared" si="71"/>
        <v>-0.30824303405572762</v>
      </c>
      <c r="I190" s="377"/>
    </row>
    <row r="191" spans="2:15" x14ac:dyDescent="0.25">
      <c r="B191" s="647">
        <v>42500</v>
      </c>
      <c r="C191" s="376">
        <v>9678</v>
      </c>
      <c r="D191" s="648">
        <v>17.042100000000001</v>
      </c>
      <c r="E191" s="377">
        <v>11.94</v>
      </c>
      <c r="F191" s="377">
        <f t="shared" si="72"/>
        <v>-49378.123800000016</v>
      </c>
      <c r="G191" s="377">
        <f t="shared" si="73"/>
        <v>164933.44380000001</v>
      </c>
      <c r="H191" s="378">
        <f t="shared" si="71"/>
        <v>-0.2993821184009014</v>
      </c>
      <c r="I191" s="377"/>
    </row>
    <row r="192" spans="2:15" x14ac:dyDescent="0.25">
      <c r="B192" s="647">
        <v>42502</v>
      </c>
      <c r="C192" s="376">
        <v>10678</v>
      </c>
      <c r="D192" s="648">
        <v>16.601800000000001</v>
      </c>
      <c r="E192" s="377">
        <v>12.33</v>
      </c>
      <c r="F192" s="377">
        <f t="shared" si="72"/>
        <v>-45614.280400000011</v>
      </c>
      <c r="G192" s="377">
        <f t="shared" si="73"/>
        <v>177274.02040000001</v>
      </c>
      <c r="H192" s="378">
        <f t="shared" si="71"/>
        <v>-0.25730944837306802</v>
      </c>
      <c r="I192" s="377"/>
    </row>
    <row r="193" spans="2:14" x14ac:dyDescent="0.25">
      <c r="B193" s="647">
        <v>42502</v>
      </c>
      <c r="C193" s="376">
        <v>9678</v>
      </c>
      <c r="D193" s="648">
        <v>17.0334</v>
      </c>
      <c r="E193" s="377">
        <v>12.33</v>
      </c>
      <c r="F193" s="377">
        <f t="shared" si="72"/>
        <v>-45519.5052</v>
      </c>
      <c r="G193" s="377">
        <f t="shared" si="73"/>
        <v>164849.2452</v>
      </c>
      <c r="H193" s="378">
        <f t="shared" si="71"/>
        <v>-0.27612807777660364</v>
      </c>
      <c r="I193" s="377"/>
    </row>
    <row r="194" spans="2:14" x14ac:dyDescent="0.25">
      <c r="B194" s="647">
        <v>42503</v>
      </c>
      <c r="C194" s="376">
        <v>9678</v>
      </c>
      <c r="D194" s="648">
        <v>17.029299999999999</v>
      </c>
      <c r="E194" s="377">
        <v>12.3</v>
      </c>
      <c r="F194" s="377">
        <f t="shared" si="72"/>
        <v>-45770.165399999983</v>
      </c>
      <c r="G194" s="377">
        <f t="shared" si="73"/>
        <v>164809.56539999999</v>
      </c>
      <c r="H194" s="378">
        <f t="shared" si="71"/>
        <v>-0.27771546687180321</v>
      </c>
      <c r="I194" s="377"/>
    </row>
    <row r="195" spans="2:14" x14ac:dyDescent="0.25">
      <c r="B195" s="647">
        <v>42506</v>
      </c>
      <c r="C195" s="376">
        <v>9678</v>
      </c>
      <c r="D195" s="648">
        <v>17.027699999999999</v>
      </c>
      <c r="E195" s="377">
        <v>12.78</v>
      </c>
      <c r="F195" s="377">
        <f t="shared" si="72"/>
        <v>-41109.240599999997</v>
      </c>
      <c r="G195" s="377">
        <f t="shared" si="73"/>
        <v>164794.08059999999</v>
      </c>
      <c r="H195" s="378">
        <f t="shared" si="71"/>
        <v>-0.24945823569830336</v>
      </c>
      <c r="I195" s="377"/>
    </row>
    <row r="196" spans="2:14" x14ac:dyDescent="0.25">
      <c r="B196" s="647">
        <v>42513</v>
      </c>
      <c r="C196" s="376">
        <v>9178</v>
      </c>
      <c r="D196" s="648">
        <v>17.244399999999999</v>
      </c>
      <c r="E196" s="377">
        <v>13.19</v>
      </c>
      <c r="F196" s="377">
        <f t="shared" si="72"/>
        <v>-37211.283199999991</v>
      </c>
      <c r="G196" s="377">
        <f t="shared" si="73"/>
        <v>158269.10319999998</v>
      </c>
      <c r="H196" s="378">
        <f t="shared" si="71"/>
        <v>-0.23511400802579385</v>
      </c>
      <c r="I196" s="377"/>
    </row>
    <row r="197" spans="2:14" x14ac:dyDescent="0.25">
      <c r="B197" s="647">
        <v>42514</v>
      </c>
      <c r="C197" s="376">
        <v>9678</v>
      </c>
      <c r="D197" s="648">
        <v>17.026</v>
      </c>
      <c r="E197" s="377">
        <v>13.02</v>
      </c>
      <c r="F197" s="377">
        <f t="shared" si="72"/>
        <v>-38770.067999999999</v>
      </c>
      <c r="G197" s="377">
        <f t="shared" si="73"/>
        <v>164777.628</v>
      </c>
      <c r="H197" s="378">
        <f t="shared" si="71"/>
        <v>-0.23528720779983556</v>
      </c>
      <c r="I197" s="377"/>
    </row>
    <row r="198" spans="2:14" x14ac:dyDescent="0.25">
      <c r="B198" s="647">
        <v>42515</v>
      </c>
      <c r="C198" s="376">
        <v>9178</v>
      </c>
      <c r="D198" s="648">
        <v>17.206800000000001</v>
      </c>
      <c r="E198" s="377">
        <v>13.54</v>
      </c>
      <c r="F198" s="377">
        <f t="shared" si="72"/>
        <v>-33653.890400000018</v>
      </c>
      <c r="G198" s="377">
        <f t="shared" si="73"/>
        <v>157924.0104</v>
      </c>
      <c r="H198" s="378">
        <f t="shared" si="71"/>
        <v>-0.21310179696399109</v>
      </c>
      <c r="I198" s="377"/>
    </row>
    <row r="199" spans="2:14" x14ac:dyDescent="0.25">
      <c r="B199" s="647">
        <v>42516</v>
      </c>
      <c r="C199" s="376">
        <v>9678</v>
      </c>
      <c r="D199" s="648">
        <v>17.003799999999998</v>
      </c>
      <c r="E199" s="377">
        <v>13.17</v>
      </c>
      <c r="F199" s="377">
        <f t="shared" si="72"/>
        <v>-37103.516399999986</v>
      </c>
      <c r="G199" s="377">
        <f t="shared" si="73"/>
        <v>164562.77639999997</v>
      </c>
      <c r="H199" s="378">
        <f t="shared" si="71"/>
        <v>-0.22546724849739463</v>
      </c>
      <c r="I199" s="377"/>
    </row>
    <row r="200" spans="2:14" x14ac:dyDescent="0.25">
      <c r="B200" s="647">
        <v>42517</v>
      </c>
      <c r="C200" s="376">
        <v>9678</v>
      </c>
      <c r="D200" s="648">
        <v>16.999700000000001</v>
      </c>
      <c r="E200" s="377">
        <v>12.9</v>
      </c>
      <c r="F200" s="377">
        <f t="shared" si="72"/>
        <v>-39676.8966</v>
      </c>
      <c r="G200" s="377">
        <f t="shared" si="73"/>
        <v>164523.09660000002</v>
      </c>
      <c r="H200" s="378">
        <f t="shared" si="71"/>
        <v>-0.2411630793484591</v>
      </c>
      <c r="I200" s="377"/>
    </row>
    <row r="201" spans="2:14" x14ac:dyDescent="0.25">
      <c r="B201" s="647">
        <v>42525</v>
      </c>
      <c r="C201" s="376">
        <v>9678</v>
      </c>
      <c r="D201" s="648">
        <v>16.9956</v>
      </c>
      <c r="E201" s="377">
        <v>13.32</v>
      </c>
      <c r="F201" s="377">
        <f t="shared" si="72"/>
        <v>-35572.456799999993</v>
      </c>
      <c r="G201" s="377">
        <f t="shared" si="73"/>
        <v>164483.41680000001</v>
      </c>
      <c r="H201" s="378">
        <f t="shared" si="71"/>
        <v>-0.21626773988561743</v>
      </c>
      <c r="I201" s="377"/>
    </row>
    <row r="202" spans="2:14" x14ac:dyDescent="0.25">
      <c r="B202" s="647">
        <v>42527</v>
      </c>
      <c r="C202" s="376">
        <v>8178</v>
      </c>
      <c r="D202" s="648">
        <v>17.568999999999999</v>
      </c>
      <c r="E202" s="377">
        <v>13.96</v>
      </c>
      <c r="F202" s="377">
        <f t="shared" si="72"/>
        <v>-29514.401999999984</v>
      </c>
      <c r="G202" s="377">
        <f t="shared" si="73"/>
        <v>143679.28200000001</v>
      </c>
      <c r="H202" s="378">
        <f t="shared" si="71"/>
        <v>-0.20541863509590746</v>
      </c>
      <c r="I202" s="377"/>
    </row>
    <row r="203" spans="2:14" x14ac:dyDescent="0.25">
      <c r="B203" s="647">
        <v>42528</v>
      </c>
      <c r="C203" s="376">
        <v>7678</v>
      </c>
      <c r="D203" s="648">
        <v>17.759599999999999</v>
      </c>
      <c r="E203" s="377">
        <v>14.62</v>
      </c>
      <c r="F203" s="377">
        <f t="shared" si="72"/>
        <v>-24105.848799999996</v>
      </c>
      <c r="G203" s="377">
        <f t="shared" si="73"/>
        <v>136358.20879999999</v>
      </c>
      <c r="H203" s="378">
        <f t="shared" si="71"/>
        <v>-0.17678326088425414</v>
      </c>
      <c r="I203" s="377"/>
    </row>
    <row r="204" spans="2:14" ht="15" customHeight="1" x14ac:dyDescent="0.25">
      <c r="B204" s="647">
        <v>42529</v>
      </c>
      <c r="C204" s="376">
        <v>8178</v>
      </c>
      <c r="D204" s="648">
        <v>17.5654</v>
      </c>
      <c r="E204" s="377">
        <v>14.53</v>
      </c>
      <c r="F204" s="377">
        <f t="shared" si="72"/>
        <v>-24823.50120000001</v>
      </c>
      <c r="G204" s="377">
        <f t="shared" si="73"/>
        <v>143649.8412</v>
      </c>
      <c r="H204" s="378">
        <f t="shared" si="71"/>
        <v>-0.17280562924840887</v>
      </c>
      <c r="I204" s="377"/>
    </row>
    <row r="205" spans="2:14" x14ac:dyDescent="0.25">
      <c r="B205" s="647">
        <v>42531</v>
      </c>
      <c r="C205" s="376">
        <v>8978</v>
      </c>
      <c r="D205" s="648">
        <v>17.1751</v>
      </c>
      <c r="E205" s="377">
        <v>13.42</v>
      </c>
      <c r="F205" s="377">
        <f t="shared" ref="F205:F213" si="74">C205*(E205-D205)</f>
        <v>-33713.287800000006</v>
      </c>
      <c r="G205" s="377">
        <f t="shared" ref="G205:G213" si="75">IF(C205=0, 0,D205*C205)</f>
        <v>154198.0478</v>
      </c>
      <c r="H205" s="378">
        <f t="shared" ref="H205:H213" si="76">IF(C205=0, D205, (E205-D205)/D205)</f>
        <v>-0.21863628159370255</v>
      </c>
      <c r="I205" s="377"/>
    </row>
    <row r="206" spans="2:14" x14ac:dyDescent="0.25">
      <c r="B206" s="647">
        <v>42531</v>
      </c>
      <c r="C206" s="397">
        <v>9278</v>
      </c>
      <c r="D206" s="649">
        <v>17.1052</v>
      </c>
      <c r="E206" s="377">
        <v>13.42</v>
      </c>
      <c r="F206" s="377">
        <f t="shared" si="74"/>
        <v>-34191.285600000003</v>
      </c>
      <c r="G206" s="377">
        <f t="shared" si="75"/>
        <v>158702.04560000001</v>
      </c>
      <c r="H206" s="378">
        <f t="shared" si="76"/>
        <v>-0.21544325702125669</v>
      </c>
      <c r="I206" s="377"/>
      <c r="N206" s="71"/>
    </row>
    <row r="207" spans="2:14" x14ac:dyDescent="0.25">
      <c r="B207" s="647">
        <v>42532</v>
      </c>
      <c r="C207" s="376">
        <v>9278</v>
      </c>
      <c r="D207" s="648">
        <v>17.053000000000001</v>
      </c>
      <c r="E207" s="377">
        <v>13.42</v>
      </c>
      <c r="F207" s="377">
        <f t="shared" si="74"/>
        <v>-33706.974000000009</v>
      </c>
      <c r="G207" s="377">
        <f t="shared" si="75"/>
        <v>158217.734</v>
      </c>
      <c r="H207" s="378">
        <f t="shared" si="76"/>
        <v>-0.21304169354365804</v>
      </c>
      <c r="I207" s="377" t="s">
        <v>183</v>
      </c>
    </row>
    <row r="208" spans="2:14" x14ac:dyDescent="0.25">
      <c r="B208" s="647">
        <v>42535</v>
      </c>
      <c r="C208" s="376">
        <v>9678</v>
      </c>
      <c r="D208" s="648">
        <v>16.879300000000001</v>
      </c>
      <c r="E208" s="377">
        <v>13.23</v>
      </c>
      <c r="F208" s="377">
        <f t="shared" si="74"/>
        <v>-35317.9254</v>
      </c>
      <c r="G208" s="377">
        <f t="shared" si="75"/>
        <v>163357.86540000001</v>
      </c>
      <c r="H208" s="378">
        <f t="shared" si="76"/>
        <v>-0.21619972392220058</v>
      </c>
      <c r="I208" s="377" t="s">
        <v>220</v>
      </c>
    </row>
    <row r="209" spans="2:16" x14ac:dyDescent="0.25">
      <c r="B209" s="647">
        <v>42536</v>
      </c>
      <c r="C209" s="376">
        <v>9278</v>
      </c>
      <c r="D209" s="648">
        <v>17.027999999999999</v>
      </c>
      <c r="E209" s="377">
        <v>13.06</v>
      </c>
      <c r="F209" s="377">
        <f t="shared" si="74"/>
        <v>-36815.103999999985</v>
      </c>
      <c r="G209" s="377">
        <f t="shared" si="75"/>
        <v>157985.78399999999</v>
      </c>
      <c r="H209" s="378">
        <f t="shared" si="76"/>
        <v>-0.23302795395818643</v>
      </c>
      <c r="I209" s="377"/>
    </row>
    <row r="210" spans="2:16" x14ac:dyDescent="0.25">
      <c r="B210" s="647">
        <v>42537</v>
      </c>
      <c r="C210" s="397">
        <v>9278</v>
      </c>
      <c r="D210" s="649">
        <v>17.0168</v>
      </c>
      <c r="E210" s="377">
        <v>12.67</v>
      </c>
      <c r="F210" s="377">
        <f t="shared" si="74"/>
        <v>-40329.610399999998</v>
      </c>
      <c r="G210" s="377">
        <f t="shared" si="75"/>
        <v>157881.87039999999</v>
      </c>
      <c r="H210" s="378">
        <f t="shared" si="76"/>
        <v>-0.25544168116214566</v>
      </c>
      <c r="I210" s="377"/>
    </row>
    <row r="211" spans="2:16" x14ac:dyDescent="0.25">
      <c r="B211" s="647">
        <v>42538</v>
      </c>
      <c r="C211" s="397">
        <v>9278</v>
      </c>
      <c r="D211" s="649">
        <v>17.0061</v>
      </c>
      <c r="E211" s="377">
        <v>13.16</v>
      </c>
      <c r="F211" s="377">
        <f t="shared" si="74"/>
        <v>-35684.1158</v>
      </c>
      <c r="G211" s="377">
        <f t="shared" si="75"/>
        <v>157782.59580000001</v>
      </c>
      <c r="H211" s="378">
        <f t="shared" si="76"/>
        <v>-0.2261600249322302</v>
      </c>
      <c r="I211" s="377"/>
    </row>
    <row r="212" spans="2:16" x14ac:dyDescent="0.25">
      <c r="B212" s="647">
        <v>42541</v>
      </c>
      <c r="C212" s="376">
        <v>7678</v>
      </c>
      <c r="D212" s="648">
        <v>17.568000000000001</v>
      </c>
      <c r="E212" s="377">
        <v>14.48</v>
      </c>
      <c r="F212" s="377">
        <f t="shared" si="74"/>
        <v>-23709.664000000008</v>
      </c>
      <c r="G212" s="377">
        <f t="shared" si="75"/>
        <v>134887.10400000002</v>
      </c>
      <c r="H212" s="379">
        <f t="shared" si="76"/>
        <v>-0.17577413479052828</v>
      </c>
      <c r="I212" s="377"/>
    </row>
    <row r="213" spans="2:16" ht="15" customHeight="1" x14ac:dyDescent="0.25">
      <c r="B213" s="647">
        <v>42542</v>
      </c>
      <c r="C213" s="376">
        <v>6800</v>
      </c>
      <c r="D213" s="648">
        <v>17.892099999999999</v>
      </c>
      <c r="E213" s="377">
        <v>15.09</v>
      </c>
      <c r="F213" s="377">
        <f t="shared" si="74"/>
        <v>-19054.279999999995</v>
      </c>
      <c r="G213" s="377">
        <f t="shared" si="75"/>
        <v>121666.28</v>
      </c>
      <c r="H213" s="379">
        <f t="shared" si="76"/>
        <v>-0.15661101827063337</v>
      </c>
      <c r="I213" s="377"/>
    </row>
    <row r="214" spans="2:16" ht="15" customHeight="1" x14ac:dyDescent="0.25">
      <c r="B214" s="647">
        <v>42543</v>
      </c>
      <c r="C214" s="376">
        <v>7300</v>
      </c>
      <c r="D214" s="648">
        <v>17.6769</v>
      </c>
      <c r="E214" s="377">
        <v>14.75</v>
      </c>
      <c r="F214" s="377">
        <f t="shared" ref="F214:F222" si="77">C214*(E214-D214)</f>
        <v>-21366.37</v>
      </c>
      <c r="G214" s="377">
        <f t="shared" ref="G214:G222" si="78">IF(C214=0, 0,D214*C214)</f>
        <v>129041.37</v>
      </c>
      <c r="H214" s="379">
        <f t="shared" ref="H214:H222" si="79">IF(C214=0, D214, (E214-D214)/D214)</f>
        <v>-0.16557767481854849</v>
      </c>
      <c r="I214" s="377"/>
    </row>
    <row r="215" spans="2:16" x14ac:dyDescent="0.25">
      <c r="B215" s="647">
        <v>42544</v>
      </c>
      <c r="C215" s="376">
        <v>6800</v>
      </c>
      <c r="D215" s="648">
        <v>17.856100000000001</v>
      </c>
      <c r="E215" s="377">
        <v>15.27</v>
      </c>
      <c r="F215" s="377">
        <f t="shared" si="77"/>
        <v>-17585.480000000014</v>
      </c>
      <c r="G215" s="377">
        <f t="shared" si="78"/>
        <v>121421.48000000001</v>
      </c>
      <c r="H215" s="379">
        <f t="shared" si="79"/>
        <v>-0.1448300580753917</v>
      </c>
      <c r="I215" s="377"/>
    </row>
    <row r="216" spans="2:16" x14ac:dyDescent="0.25">
      <c r="B216" s="647">
        <v>42545</v>
      </c>
      <c r="C216" s="376">
        <v>7678</v>
      </c>
      <c r="D216" s="648">
        <v>17.462</v>
      </c>
      <c r="E216" s="377">
        <v>14.41</v>
      </c>
      <c r="F216" s="377">
        <f t="shared" si="77"/>
        <v>-23433.255999999998</v>
      </c>
      <c r="G216" s="377">
        <f t="shared" si="78"/>
        <v>134073.236</v>
      </c>
      <c r="H216" s="379">
        <f t="shared" si="79"/>
        <v>-0.17477952124613444</v>
      </c>
      <c r="I216" s="377"/>
    </row>
    <row r="217" spans="2:16" x14ac:dyDescent="0.25">
      <c r="B217" s="647">
        <v>42545</v>
      </c>
      <c r="C217" s="376">
        <v>8013</v>
      </c>
      <c r="D217" s="648">
        <v>17.32</v>
      </c>
      <c r="E217" s="377">
        <v>14.68</v>
      </c>
      <c r="F217" s="377">
        <f t="shared" si="77"/>
        <v>-21154.320000000003</v>
      </c>
      <c r="G217" s="377">
        <f t="shared" si="78"/>
        <v>138785.16</v>
      </c>
      <c r="H217" s="379">
        <f t="shared" si="79"/>
        <v>-0.15242494226327949</v>
      </c>
      <c r="I217" s="377"/>
    </row>
    <row r="218" spans="2:16" x14ac:dyDescent="0.25">
      <c r="B218" s="647">
        <v>42548</v>
      </c>
      <c r="C218" s="376">
        <v>8978</v>
      </c>
      <c r="D218" s="648">
        <v>16.943300000000001</v>
      </c>
      <c r="E218" s="377">
        <v>13.66</v>
      </c>
      <c r="F218" s="377">
        <f t="shared" si="77"/>
        <v>-29477.467400000005</v>
      </c>
      <c r="G218" s="377">
        <f t="shared" si="78"/>
        <v>152116.9474</v>
      </c>
      <c r="H218" s="379">
        <f t="shared" si="79"/>
        <v>-0.19378161279089673</v>
      </c>
      <c r="I218" s="377"/>
    </row>
    <row r="219" spans="2:16" x14ac:dyDescent="0.25">
      <c r="B219" s="647">
        <v>42548</v>
      </c>
      <c r="C219" s="376">
        <v>9278</v>
      </c>
      <c r="D219" s="648">
        <v>16.834599999999998</v>
      </c>
      <c r="E219" s="377">
        <v>13.66</v>
      </c>
      <c r="F219" s="377">
        <f t="shared" si="77"/>
        <v>-29453.938799999982</v>
      </c>
      <c r="G219" s="377">
        <f t="shared" si="78"/>
        <v>156191.41879999998</v>
      </c>
      <c r="H219" s="378">
        <f t="shared" si="79"/>
        <v>-0.18857590913951019</v>
      </c>
      <c r="I219" s="377"/>
    </row>
    <row r="220" spans="2:16" x14ac:dyDescent="0.25">
      <c r="B220" s="647">
        <v>42549</v>
      </c>
      <c r="C220" s="376">
        <v>8178</v>
      </c>
      <c r="D220" s="648">
        <v>17.124400000000001</v>
      </c>
      <c r="E220" s="377">
        <v>14.78</v>
      </c>
      <c r="F220" s="377">
        <f t="shared" si="77"/>
        <v>-19172.503200000017</v>
      </c>
      <c r="G220" s="377">
        <f t="shared" si="78"/>
        <v>140043.3432</v>
      </c>
      <c r="H220" s="378">
        <f t="shared" si="79"/>
        <v>-0.13690406671182651</v>
      </c>
      <c r="I220" s="377">
        <v>17</v>
      </c>
    </row>
    <row r="221" spans="2:16" x14ac:dyDescent="0.25">
      <c r="B221" s="647">
        <v>42552</v>
      </c>
      <c r="C221" s="376">
        <v>7678</v>
      </c>
      <c r="D221" s="648">
        <v>17.2315</v>
      </c>
      <c r="E221" s="377">
        <v>15.48</v>
      </c>
      <c r="F221" s="377">
        <f t="shared" si="77"/>
        <v>-13448.017</v>
      </c>
      <c r="G221" s="377">
        <f t="shared" si="78"/>
        <v>132303.45699999999</v>
      </c>
      <c r="H221" s="378">
        <f t="shared" si="79"/>
        <v>-0.1016452427240809</v>
      </c>
      <c r="I221" s="377">
        <v>17</v>
      </c>
      <c r="P221" s="71"/>
    </row>
    <row r="222" spans="2:16" x14ac:dyDescent="0.25">
      <c r="B222" s="647">
        <v>42552</v>
      </c>
      <c r="C222" s="376">
        <v>7300</v>
      </c>
      <c r="D222" s="648">
        <v>17.313400000000001</v>
      </c>
      <c r="E222" s="377">
        <v>15.65</v>
      </c>
      <c r="F222" s="377">
        <f t="shared" si="77"/>
        <v>-12142.820000000009</v>
      </c>
      <c r="G222" s="377">
        <f t="shared" si="78"/>
        <v>126387.82</v>
      </c>
      <c r="H222" s="378">
        <f t="shared" si="79"/>
        <v>-9.6075871868032903E-2</v>
      </c>
      <c r="I222" s="377"/>
      <c r="P222" s="71"/>
    </row>
    <row r="223" spans="2:16" x14ac:dyDescent="0.25">
      <c r="B223" s="647">
        <v>42552</v>
      </c>
      <c r="C223" s="376">
        <v>6800</v>
      </c>
      <c r="D223" s="648">
        <v>17.446100000000001</v>
      </c>
      <c r="E223" s="377">
        <v>15.7</v>
      </c>
      <c r="F223" s="377">
        <f t="shared" ref="F223:F244" si="80">C223*(E223-D223)</f>
        <v>-11873.480000000014</v>
      </c>
      <c r="G223" s="377">
        <f t="shared" ref="G223:G244" si="81">IF(C223=0, 0,D223*C223)</f>
        <v>118633.48000000001</v>
      </c>
      <c r="H223" s="378">
        <f t="shared" ref="H223:H244" si="82">IF(C223=0, D223, (E223-D223)/D223)</f>
        <v>-0.10008540590733757</v>
      </c>
      <c r="I223" s="377"/>
    </row>
    <row r="224" spans="2:16" x14ac:dyDescent="0.25">
      <c r="B224" s="647">
        <v>42552</v>
      </c>
      <c r="C224" s="376">
        <v>6000</v>
      </c>
      <c r="D224" s="648">
        <v>17.668199999999999</v>
      </c>
      <c r="E224" s="377">
        <v>15.68</v>
      </c>
      <c r="F224" s="377">
        <f t="shared" si="80"/>
        <v>-11929.199999999995</v>
      </c>
      <c r="G224" s="377">
        <f t="shared" si="81"/>
        <v>106009.2</v>
      </c>
      <c r="H224" s="378">
        <f t="shared" si="82"/>
        <v>-0.11252985589929926</v>
      </c>
      <c r="I224" s="377"/>
    </row>
    <row r="225" spans="2:17" x14ac:dyDescent="0.25">
      <c r="B225" s="647">
        <v>42556</v>
      </c>
      <c r="C225" s="376">
        <v>8178</v>
      </c>
      <c r="D225" s="648">
        <v>16.978899999999999</v>
      </c>
      <c r="E225" s="377">
        <v>14.72</v>
      </c>
      <c r="F225" s="377">
        <f t="shared" si="80"/>
        <v>-18473.284199999991</v>
      </c>
      <c r="G225" s="377">
        <f t="shared" si="81"/>
        <v>138853.4442</v>
      </c>
      <c r="H225" s="378">
        <f t="shared" si="82"/>
        <v>-0.13304159869013887</v>
      </c>
      <c r="I225" s="377">
        <v>16.75</v>
      </c>
    </row>
    <row r="226" spans="2:17" x14ac:dyDescent="0.25">
      <c r="B226" s="647">
        <v>42556</v>
      </c>
      <c r="C226" s="376">
        <v>8678</v>
      </c>
      <c r="D226" s="648">
        <v>16.843</v>
      </c>
      <c r="E226" s="377">
        <v>14.72</v>
      </c>
      <c r="F226" s="377">
        <f t="shared" si="80"/>
        <v>-18423.393999999993</v>
      </c>
      <c r="G226" s="377">
        <f t="shared" si="81"/>
        <v>146163.554</v>
      </c>
      <c r="H226" s="378">
        <f t="shared" si="82"/>
        <v>-0.12604642878347083</v>
      </c>
      <c r="I226" s="377"/>
    </row>
    <row r="227" spans="2:17" x14ac:dyDescent="0.25">
      <c r="B227" s="647">
        <v>42557</v>
      </c>
      <c r="C227" s="376">
        <v>8178</v>
      </c>
      <c r="D227" s="648">
        <v>16.960599999999999</v>
      </c>
      <c r="E227" s="377">
        <v>14.84</v>
      </c>
      <c r="F227" s="377">
        <f t="shared" si="80"/>
        <v>-17342.266799999998</v>
      </c>
      <c r="G227" s="377">
        <f t="shared" si="81"/>
        <v>138703.7868</v>
      </c>
      <c r="H227" s="378">
        <f t="shared" si="82"/>
        <v>-0.12503095409360515</v>
      </c>
      <c r="I227" s="377">
        <v>16.75</v>
      </c>
    </row>
    <row r="228" spans="2:17" ht="15" customHeight="1" x14ac:dyDescent="0.25">
      <c r="B228" s="647">
        <v>42557</v>
      </c>
      <c r="C228" s="376">
        <v>8678</v>
      </c>
      <c r="D228" s="648">
        <v>16.835000000000001</v>
      </c>
      <c r="E228" s="377">
        <v>14.84</v>
      </c>
      <c r="F228" s="377">
        <f t="shared" si="80"/>
        <v>-17312.610000000008</v>
      </c>
      <c r="G228" s="377">
        <f t="shared" si="81"/>
        <v>146094.13</v>
      </c>
      <c r="H228" s="378">
        <f t="shared" si="82"/>
        <v>-0.11850311850311855</v>
      </c>
      <c r="I228" s="377"/>
    </row>
    <row r="229" spans="2:17" ht="18.75" customHeight="1" x14ac:dyDescent="0.25">
      <c r="B229" s="647">
        <v>42559</v>
      </c>
      <c r="C229" s="376">
        <v>8678</v>
      </c>
      <c r="D229" s="648">
        <v>16.835000000000001</v>
      </c>
      <c r="E229" s="377">
        <v>14.92</v>
      </c>
      <c r="F229" s="377">
        <f t="shared" si="80"/>
        <v>-16618.370000000006</v>
      </c>
      <c r="G229" s="377">
        <f t="shared" si="81"/>
        <v>146094.13</v>
      </c>
      <c r="H229" s="378">
        <f t="shared" si="82"/>
        <v>-0.1137511137511138</v>
      </c>
      <c r="I229" s="377"/>
    </row>
    <row r="230" spans="2:17" x14ac:dyDescent="0.25">
      <c r="B230" s="647">
        <v>42562</v>
      </c>
      <c r="C230" s="376">
        <v>8678</v>
      </c>
      <c r="D230" s="648">
        <v>16.835000000000001</v>
      </c>
      <c r="E230" s="377">
        <v>14.69</v>
      </c>
      <c r="F230" s="377">
        <f t="shared" si="80"/>
        <v>-18614.310000000012</v>
      </c>
      <c r="G230" s="377">
        <f t="shared" si="81"/>
        <v>146094.13</v>
      </c>
      <c r="H230" s="378">
        <f t="shared" si="82"/>
        <v>-0.12741312741312749</v>
      </c>
      <c r="I230" s="377"/>
    </row>
    <row r="231" spans="2:17" x14ac:dyDescent="0.25">
      <c r="B231" s="647">
        <v>42563</v>
      </c>
      <c r="C231" s="376">
        <v>8678</v>
      </c>
      <c r="D231" s="648">
        <v>16.835000000000001</v>
      </c>
      <c r="E231" s="377">
        <v>15.6</v>
      </c>
      <c r="F231" s="377">
        <f t="shared" si="80"/>
        <v>-10717.330000000011</v>
      </c>
      <c r="G231" s="377">
        <f t="shared" si="81"/>
        <v>146094.13</v>
      </c>
      <c r="H231" s="378">
        <f t="shared" si="82"/>
        <v>-7.3359073359073421E-2</v>
      </c>
      <c r="I231" s="377"/>
    </row>
    <row r="232" spans="2:17" x14ac:dyDescent="0.25">
      <c r="B232" s="647">
        <v>42564</v>
      </c>
      <c r="C232" s="376">
        <v>8738</v>
      </c>
      <c r="D232" s="648">
        <v>16.816099999999999</v>
      </c>
      <c r="E232" s="377">
        <v>15.29</v>
      </c>
      <c r="F232" s="377">
        <f t="shared" si="80"/>
        <v>-13335.061799999996</v>
      </c>
      <c r="G232" s="377">
        <f t="shared" si="81"/>
        <v>146939.08179999999</v>
      </c>
      <c r="H232" s="378">
        <f t="shared" si="82"/>
        <v>-9.0752314745987453E-2</v>
      </c>
      <c r="I232" s="377"/>
    </row>
    <row r="233" spans="2:17" x14ac:dyDescent="0.25">
      <c r="B233" s="647">
        <v>42566</v>
      </c>
      <c r="C233" s="376">
        <v>8738</v>
      </c>
      <c r="D233" s="648">
        <v>16.816099999999999</v>
      </c>
      <c r="E233" s="377">
        <v>15.21</v>
      </c>
      <c r="F233" s="377">
        <f t="shared" si="80"/>
        <v>-14034.101799999982</v>
      </c>
      <c r="G233" s="377">
        <f t="shared" si="81"/>
        <v>146939.08179999999</v>
      </c>
      <c r="H233" s="378">
        <f t="shared" si="82"/>
        <v>-9.5509660384988079E-2</v>
      </c>
      <c r="I233" s="377"/>
      <c r="N233" s="71"/>
      <c r="P233" s="1"/>
    </row>
    <row r="234" spans="2:17" x14ac:dyDescent="0.25">
      <c r="B234" s="647">
        <v>42570</v>
      </c>
      <c r="C234" s="376">
        <v>9138</v>
      </c>
      <c r="D234" s="648">
        <v>16.733499999999999</v>
      </c>
      <c r="E234" s="377">
        <v>14.75</v>
      </c>
      <c r="F234" s="377">
        <f t="shared" si="80"/>
        <v>-18125.222999999994</v>
      </c>
      <c r="G234" s="377">
        <f t="shared" si="81"/>
        <v>152910.723</v>
      </c>
      <c r="H234" s="378">
        <f t="shared" si="82"/>
        <v>-0.1185346759494427</v>
      </c>
      <c r="I234" s="377"/>
      <c r="Q234" s="71"/>
    </row>
    <row r="235" spans="2:17" x14ac:dyDescent="0.25">
      <c r="B235" s="647">
        <v>42571</v>
      </c>
      <c r="C235" s="397">
        <v>9138</v>
      </c>
      <c r="D235" s="649">
        <v>16.7227</v>
      </c>
      <c r="E235" s="377">
        <v>14.84</v>
      </c>
      <c r="F235" s="377">
        <f t="shared" si="80"/>
        <v>-17204.112599999997</v>
      </c>
      <c r="G235" s="377">
        <f t="shared" si="81"/>
        <v>152812.03260000001</v>
      </c>
      <c r="H235" s="378">
        <f t="shared" si="82"/>
        <v>-0.11258349429218965</v>
      </c>
      <c r="I235" s="377"/>
      <c r="P235" s="1"/>
    </row>
    <row r="236" spans="2:17" x14ac:dyDescent="0.25">
      <c r="B236" s="647">
        <v>42572</v>
      </c>
      <c r="C236" s="376">
        <v>9138</v>
      </c>
      <c r="D236" s="648">
        <v>16.718900000000001</v>
      </c>
      <c r="E236" s="377">
        <v>14.42</v>
      </c>
      <c r="F236" s="377">
        <f t="shared" si="80"/>
        <v>-21007.348200000015</v>
      </c>
      <c r="G236" s="377">
        <f t="shared" si="81"/>
        <v>152777.3082</v>
      </c>
      <c r="H236" s="378">
        <f t="shared" si="82"/>
        <v>-0.13750306539305823</v>
      </c>
      <c r="I236" s="377"/>
      <c r="P236" s="1"/>
      <c r="Q236" s="71"/>
    </row>
    <row r="237" spans="2:17" x14ac:dyDescent="0.25">
      <c r="B237" s="647">
        <v>42573</v>
      </c>
      <c r="C237" s="376">
        <v>9278</v>
      </c>
      <c r="D237" s="648">
        <v>16.679099999999998</v>
      </c>
      <c r="E237" s="377">
        <v>14.11</v>
      </c>
      <c r="F237" s="377">
        <f t="shared" si="80"/>
        <v>-23836.109799999987</v>
      </c>
      <c r="G237" s="377">
        <f t="shared" si="81"/>
        <v>154748.68979999999</v>
      </c>
      <c r="H237" s="378">
        <f t="shared" si="82"/>
        <v>-0.15403109280476759</v>
      </c>
      <c r="I237" s="377"/>
      <c r="P237" s="1"/>
    </row>
    <row r="238" spans="2:17" x14ac:dyDescent="0.25">
      <c r="B238" s="647">
        <v>42576</v>
      </c>
      <c r="C238" s="376">
        <v>9478</v>
      </c>
      <c r="D238" s="648">
        <v>16.613099999999999</v>
      </c>
      <c r="E238" s="377">
        <v>13.58</v>
      </c>
      <c r="F238" s="377">
        <f t="shared" si="80"/>
        <v>-28747.721799999992</v>
      </c>
      <c r="G238" s="377">
        <f t="shared" si="81"/>
        <v>157458.96179999999</v>
      </c>
      <c r="H238" s="378">
        <f t="shared" si="82"/>
        <v>-0.18257278894366491</v>
      </c>
      <c r="I238" s="377"/>
      <c r="P238" s="1"/>
      <c r="Q238" s="71"/>
    </row>
    <row r="239" spans="2:17" x14ac:dyDescent="0.25">
      <c r="B239" s="647">
        <v>42577</v>
      </c>
      <c r="C239" s="397">
        <v>9278</v>
      </c>
      <c r="D239" s="649">
        <v>16.674199999999999</v>
      </c>
      <c r="E239" s="377">
        <v>13.78</v>
      </c>
      <c r="F239" s="377">
        <f t="shared" si="80"/>
        <v>-26852.387599999998</v>
      </c>
      <c r="G239" s="377">
        <f t="shared" si="81"/>
        <v>154703.22759999998</v>
      </c>
      <c r="H239" s="378">
        <f t="shared" si="82"/>
        <v>-0.17357354475776948</v>
      </c>
      <c r="I239" s="377">
        <v>16.53</v>
      </c>
      <c r="Q239" s="71"/>
    </row>
    <row r="240" spans="2:17" x14ac:dyDescent="0.25">
      <c r="B240" s="647">
        <v>42578</v>
      </c>
      <c r="C240" s="397">
        <v>9478</v>
      </c>
      <c r="D240" s="649">
        <v>16.6004</v>
      </c>
      <c r="E240" s="377">
        <v>13.13</v>
      </c>
      <c r="F240" s="377">
        <f t="shared" si="80"/>
        <v>-32892.451199999996</v>
      </c>
      <c r="G240" s="377">
        <f t="shared" si="81"/>
        <v>157338.5912</v>
      </c>
      <c r="H240" s="378">
        <f t="shared" si="82"/>
        <v>-0.20905520348907253</v>
      </c>
      <c r="I240" s="377"/>
      <c r="P240" s="1"/>
    </row>
    <row r="241" spans="2:14" x14ac:dyDescent="0.25">
      <c r="B241" s="647">
        <v>42580</v>
      </c>
      <c r="C241" s="376">
        <v>9478</v>
      </c>
      <c r="D241" s="648">
        <v>16.599</v>
      </c>
      <c r="E241" s="377">
        <v>13.64</v>
      </c>
      <c r="F241" s="377">
        <f t="shared" si="80"/>
        <v>-28045.401999999998</v>
      </c>
      <c r="G241" s="377">
        <f t="shared" si="81"/>
        <v>157325.32200000001</v>
      </c>
      <c r="H241" s="379">
        <f t="shared" si="82"/>
        <v>-0.17826375082836313</v>
      </c>
      <c r="I241" s="377"/>
    </row>
    <row r="242" spans="2:14" x14ac:dyDescent="0.25">
      <c r="B242" s="647">
        <v>42580</v>
      </c>
      <c r="C242" s="376">
        <v>9278</v>
      </c>
      <c r="D242" s="648">
        <v>16.664000000000001</v>
      </c>
      <c r="E242" s="377">
        <v>13.64</v>
      </c>
      <c r="F242" s="377">
        <f t="shared" si="80"/>
        <v>-28056.67200000001</v>
      </c>
      <c r="G242" s="377">
        <f t="shared" si="81"/>
        <v>154608.592</v>
      </c>
      <c r="H242" s="379">
        <f t="shared" si="82"/>
        <v>-0.18146903504560732</v>
      </c>
      <c r="I242" s="377">
        <v>16.53</v>
      </c>
    </row>
    <row r="243" spans="2:14" x14ac:dyDescent="0.25">
      <c r="B243" s="647">
        <v>42583</v>
      </c>
      <c r="C243" s="376">
        <v>9478</v>
      </c>
      <c r="D243" s="648">
        <v>16.5871</v>
      </c>
      <c r="E243" s="377">
        <v>12.92</v>
      </c>
      <c r="F243" s="377">
        <f t="shared" si="80"/>
        <v>-34756.773799999995</v>
      </c>
      <c r="G243" s="377">
        <f t="shared" si="81"/>
        <v>157212.5338</v>
      </c>
      <c r="H243" s="379">
        <f t="shared" si="82"/>
        <v>-0.22108144280796521</v>
      </c>
      <c r="I243" s="377"/>
    </row>
    <row r="244" spans="2:14" x14ac:dyDescent="0.25">
      <c r="B244" s="647">
        <v>42584</v>
      </c>
      <c r="C244" s="376">
        <v>9678</v>
      </c>
      <c r="D244" s="648">
        <v>16.5063</v>
      </c>
      <c r="E244" s="377">
        <v>12.9</v>
      </c>
      <c r="F244" s="377">
        <f t="shared" si="80"/>
        <v>-34901.771399999991</v>
      </c>
      <c r="G244" s="377">
        <f t="shared" si="81"/>
        <v>159747.97140000001</v>
      </c>
      <c r="H244" s="379">
        <f t="shared" si="82"/>
        <v>-0.21848021664455386</v>
      </c>
      <c r="I244" s="377"/>
    </row>
    <row r="245" spans="2:14" x14ac:dyDescent="0.25">
      <c r="B245" s="647">
        <v>42585</v>
      </c>
      <c r="C245" s="376">
        <v>10078</v>
      </c>
      <c r="D245" s="648">
        <v>16.5063</v>
      </c>
      <c r="E245" s="377">
        <v>12.9</v>
      </c>
      <c r="F245" s="377">
        <f t="shared" ref="F245:F260" si="83">C245*(E245-D245)</f>
        <v>-36344.291399999995</v>
      </c>
      <c r="G245" s="377">
        <f t="shared" ref="G245:G260" si="84">IF(C245=0, 0,D245*C245)</f>
        <v>166350.4914</v>
      </c>
      <c r="H245" s="379">
        <f t="shared" ref="H245:H260" si="85">IF(C245=0, D245, (E245-D245)/D245)</f>
        <v>-0.21848021664455386</v>
      </c>
      <c r="I245" s="377"/>
    </row>
    <row r="246" spans="2:14" x14ac:dyDescent="0.25">
      <c r="B246" s="647">
        <v>42586</v>
      </c>
      <c r="C246" s="376">
        <v>9678</v>
      </c>
      <c r="D246" s="648">
        <v>16.489799999999999</v>
      </c>
      <c r="E246" s="377">
        <v>13.41</v>
      </c>
      <c r="F246" s="377">
        <f t="shared" si="83"/>
        <v>-29806.304399999986</v>
      </c>
      <c r="G246" s="377">
        <f t="shared" si="84"/>
        <v>159588.28439999997</v>
      </c>
      <c r="H246" s="379">
        <f t="shared" si="85"/>
        <v>-0.1867700032747516</v>
      </c>
      <c r="I246" s="377"/>
    </row>
    <row r="247" spans="2:14" x14ac:dyDescent="0.25">
      <c r="B247" s="647">
        <v>42586</v>
      </c>
      <c r="C247" s="376">
        <v>9278</v>
      </c>
      <c r="D247" s="648">
        <v>16.609200000000001</v>
      </c>
      <c r="E247" s="377">
        <v>13.66</v>
      </c>
      <c r="F247" s="377">
        <f t="shared" si="83"/>
        <v>-27362.67760000001</v>
      </c>
      <c r="G247" s="377">
        <f t="shared" si="84"/>
        <v>154100.15760000001</v>
      </c>
      <c r="H247" s="379">
        <f t="shared" si="85"/>
        <v>-0.17756424150470829</v>
      </c>
      <c r="I247" s="377">
        <v>16.53</v>
      </c>
    </row>
    <row r="248" spans="2:14" x14ac:dyDescent="0.25">
      <c r="B248" s="647">
        <v>42586</v>
      </c>
      <c r="C248" s="376">
        <v>9138</v>
      </c>
      <c r="D248" s="648">
        <v>16.6511</v>
      </c>
      <c r="E248" s="377">
        <v>13.87</v>
      </c>
      <c r="F248" s="377">
        <f t="shared" si="83"/>
        <v>-25413.691800000004</v>
      </c>
      <c r="G248" s="377">
        <f t="shared" si="84"/>
        <v>152157.7518</v>
      </c>
      <c r="H248" s="378">
        <f t="shared" si="85"/>
        <v>-0.1670219985466426</v>
      </c>
      <c r="I248" s="377"/>
    </row>
    <row r="249" spans="2:14" x14ac:dyDescent="0.25">
      <c r="B249" s="647">
        <v>42593</v>
      </c>
      <c r="C249" s="376">
        <v>8678</v>
      </c>
      <c r="D249" s="648">
        <v>16.760300000000001</v>
      </c>
      <c r="E249" s="377">
        <v>14.61</v>
      </c>
      <c r="F249" s="377">
        <f t="shared" si="83"/>
        <v>-18660.303400000012</v>
      </c>
      <c r="G249" s="377">
        <f t="shared" si="84"/>
        <v>145445.88340000002</v>
      </c>
      <c r="H249" s="378">
        <f t="shared" si="85"/>
        <v>-0.12829722618330228</v>
      </c>
      <c r="I249" s="377"/>
    </row>
    <row r="250" spans="2:14" x14ac:dyDescent="0.25">
      <c r="B250" s="647">
        <v>42597</v>
      </c>
      <c r="C250" s="376">
        <v>8678</v>
      </c>
      <c r="D250" s="648">
        <v>16.7471</v>
      </c>
      <c r="E250" s="377">
        <v>14.9</v>
      </c>
      <c r="F250" s="377">
        <f t="shared" si="83"/>
        <v>-16029.133799999994</v>
      </c>
      <c r="G250" s="377">
        <f t="shared" si="84"/>
        <v>145331.33379999999</v>
      </c>
      <c r="H250" s="378">
        <f t="shared" si="85"/>
        <v>-0.11029372249523794</v>
      </c>
      <c r="I250" s="377"/>
    </row>
    <row r="251" spans="2:14" x14ac:dyDescent="0.25">
      <c r="B251" s="647">
        <v>42598</v>
      </c>
      <c r="C251" s="376">
        <v>8178</v>
      </c>
      <c r="D251" s="648">
        <v>16.8429</v>
      </c>
      <c r="E251" s="377">
        <v>15.17</v>
      </c>
      <c r="F251" s="377">
        <f t="shared" si="83"/>
        <v>-13680.976200000003</v>
      </c>
      <c r="G251" s="377">
        <f t="shared" si="84"/>
        <v>137741.23620000001</v>
      </c>
      <c r="H251" s="378">
        <f t="shared" si="85"/>
        <v>-9.9323750660515728E-2</v>
      </c>
      <c r="I251" s="377">
        <v>16.75</v>
      </c>
      <c r="N251" s="71"/>
    </row>
    <row r="252" spans="2:14" x14ac:dyDescent="0.25">
      <c r="B252" s="647">
        <v>42599</v>
      </c>
      <c r="C252" s="376">
        <v>7178</v>
      </c>
      <c r="D252" s="648">
        <v>17.009899999999998</v>
      </c>
      <c r="E252" s="377">
        <v>15.7</v>
      </c>
      <c r="F252" s="377">
        <f t="shared" si="83"/>
        <v>-9402.4621999999927</v>
      </c>
      <c r="G252" s="377">
        <f t="shared" si="84"/>
        <v>122097.06219999999</v>
      </c>
      <c r="H252" s="378">
        <f t="shared" si="85"/>
        <v>-7.7008095285686515E-2</v>
      </c>
      <c r="I252" s="377"/>
    </row>
    <row r="253" spans="2:14" x14ac:dyDescent="0.25">
      <c r="B253" s="647">
        <v>42600</v>
      </c>
      <c r="C253" s="376">
        <v>5500</v>
      </c>
      <c r="D253" s="648">
        <v>17.185600000000001</v>
      </c>
      <c r="E253" s="377">
        <v>16.68</v>
      </c>
      <c r="F253" s="377">
        <f t="shared" si="83"/>
        <v>-2780.8000000000065</v>
      </c>
      <c r="G253" s="377">
        <f t="shared" si="84"/>
        <v>94520.8</v>
      </c>
      <c r="H253" s="378">
        <f t="shared" si="85"/>
        <v>-2.9419979517735846E-2</v>
      </c>
      <c r="I253" s="377"/>
    </row>
    <row r="254" spans="2:14" x14ac:dyDescent="0.25">
      <c r="B254" s="647">
        <v>42601</v>
      </c>
      <c r="C254" s="376">
        <v>5000</v>
      </c>
      <c r="D254" s="648">
        <v>17.222200000000001</v>
      </c>
      <c r="E254" s="377">
        <v>16.8</v>
      </c>
      <c r="F254" s="377">
        <f t="shared" si="83"/>
        <v>-2111.0000000000005</v>
      </c>
      <c r="G254" s="377">
        <f t="shared" si="84"/>
        <v>86111</v>
      </c>
      <c r="H254" s="378">
        <f t="shared" si="85"/>
        <v>-2.4514870341768188E-2</v>
      </c>
      <c r="I254" s="377"/>
    </row>
    <row r="255" spans="2:14" x14ac:dyDescent="0.25">
      <c r="B255" s="647">
        <v>42604</v>
      </c>
      <c r="C255" s="376">
        <v>6000</v>
      </c>
      <c r="D255" s="648">
        <v>16.9651</v>
      </c>
      <c r="E255" s="377">
        <v>15.64</v>
      </c>
      <c r="F255" s="377">
        <f t="shared" si="83"/>
        <v>-7950.599999999994</v>
      </c>
      <c r="G255" s="377">
        <f t="shared" si="84"/>
        <v>101790.59999999999</v>
      </c>
      <c r="H255" s="378">
        <f t="shared" si="85"/>
        <v>-7.8107408739117312E-2</v>
      </c>
      <c r="I255" s="377"/>
    </row>
    <row r="256" spans="2:14" x14ac:dyDescent="0.25">
      <c r="B256" s="647">
        <v>42604</v>
      </c>
      <c r="C256" s="376">
        <v>6500</v>
      </c>
      <c r="D256" s="648">
        <v>16.850899999999999</v>
      </c>
      <c r="E256" s="377">
        <v>15.64</v>
      </c>
      <c r="F256" s="377">
        <f t="shared" si="83"/>
        <v>-7870.8499999999922</v>
      </c>
      <c r="G256" s="377">
        <f t="shared" si="84"/>
        <v>109530.84999999999</v>
      </c>
      <c r="H256" s="378">
        <f t="shared" si="85"/>
        <v>-7.1859663282079822E-2</v>
      </c>
      <c r="I256" s="377"/>
    </row>
    <row r="257" spans="2:9" x14ac:dyDescent="0.25">
      <c r="B257" s="647">
        <v>42605</v>
      </c>
      <c r="C257" s="376">
        <v>6000</v>
      </c>
      <c r="D257" s="648">
        <v>16.923500000000001</v>
      </c>
      <c r="E257" s="377">
        <v>16.43</v>
      </c>
      <c r="F257" s="377">
        <f t="shared" si="83"/>
        <v>-2961.0000000000055</v>
      </c>
      <c r="G257" s="377">
        <f t="shared" si="84"/>
        <v>101541</v>
      </c>
      <c r="H257" s="378">
        <f t="shared" si="85"/>
        <v>-2.9160634620498178E-2</v>
      </c>
      <c r="I257" s="377"/>
    </row>
    <row r="258" spans="2:9" x14ac:dyDescent="0.25">
      <c r="B258" s="647">
        <v>42605</v>
      </c>
      <c r="C258" s="376">
        <v>5500</v>
      </c>
      <c r="D258" s="648">
        <v>16.9848</v>
      </c>
      <c r="E258" s="377">
        <v>16.43</v>
      </c>
      <c r="F258" s="377">
        <f t="shared" si="83"/>
        <v>-3051.400000000001</v>
      </c>
      <c r="G258" s="377">
        <f t="shared" si="84"/>
        <v>93416.4</v>
      </c>
      <c r="H258" s="378">
        <f t="shared" si="85"/>
        <v>-3.266450002355048E-2</v>
      </c>
      <c r="I258" s="377"/>
    </row>
    <row r="259" spans="2:9" x14ac:dyDescent="0.25">
      <c r="B259" s="647">
        <v>42605</v>
      </c>
      <c r="C259" s="376">
        <v>5000</v>
      </c>
      <c r="D259" s="648">
        <v>17.035299999999999</v>
      </c>
      <c r="E259" s="377">
        <v>16.43</v>
      </c>
      <c r="F259" s="377">
        <f t="shared" si="83"/>
        <v>-3026.4999999999986</v>
      </c>
      <c r="G259" s="377">
        <f t="shared" si="84"/>
        <v>85176.5</v>
      </c>
      <c r="H259" s="378">
        <f t="shared" si="85"/>
        <v>-3.5532100990296606E-2</v>
      </c>
      <c r="I259" s="377"/>
    </row>
    <row r="260" spans="2:9" x14ac:dyDescent="0.25">
      <c r="B260" s="647">
        <v>42606</v>
      </c>
      <c r="C260" s="376">
        <v>5178</v>
      </c>
      <c r="D260" s="648">
        <v>17.0017</v>
      </c>
      <c r="E260" s="377">
        <v>16.059999999999999</v>
      </c>
      <c r="F260" s="377">
        <f t="shared" si="83"/>
        <v>-4876.1226000000042</v>
      </c>
      <c r="G260" s="377">
        <f t="shared" si="84"/>
        <v>88034.802599999995</v>
      </c>
      <c r="H260" s="378">
        <f t="shared" si="85"/>
        <v>-5.5388578789179958E-2</v>
      </c>
      <c r="I260" s="377"/>
    </row>
    <row r="261" spans="2:9" x14ac:dyDescent="0.25">
      <c r="B261" s="647">
        <v>42607</v>
      </c>
      <c r="C261" s="376">
        <v>5178</v>
      </c>
      <c r="D261" s="648">
        <v>17.0017</v>
      </c>
      <c r="E261" s="377">
        <v>16.010000000000002</v>
      </c>
      <c r="F261" s="377">
        <f>C261*(E261-D261)</f>
        <v>-5135.0225999999902</v>
      </c>
      <c r="G261" s="377">
        <f>IF(C261=0, 0,D261*C261)</f>
        <v>88034.802599999995</v>
      </c>
      <c r="H261" s="378">
        <f>IF(C261=0, D261, (E261-D261)/D261)</f>
        <v>-5.8329461171529789E-2</v>
      </c>
      <c r="I261" s="377"/>
    </row>
    <row r="262" spans="2:9" x14ac:dyDescent="0.25">
      <c r="B262" s="647">
        <v>42608</v>
      </c>
      <c r="C262" s="376">
        <v>6178</v>
      </c>
      <c r="D262" s="648">
        <v>16.825800000000001</v>
      </c>
      <c r="E262" s="377">
        <v>15.95</v>
      </c>
      <c r="F262" s="377">
        <f>C262*(E262-D262)</f>
        <v>-5410.6924000000108</v>
      </c>
      <c r="G262" s="377">
        <f>IF(C262=0, 0,D262*C262)</f>
        <v>103949.79240000001</v>
      </c>
      <c r="H262" s="378">
        <f>IF(C262=0, D262, (E262-D262)/D262)</f>
        <v>-5.2051016890727435E-2</v>
      </c>
      <c r="I262" s="377"/>
    </row>
    <row r="263" spans="2:9" x14ac:dyDescent="0.25">
      <c r="B263" s="647">
        <v>42611</v>
      </c>
      <c r="C263" s="376">
        <v>6178</v>
      </c>
      <c r="D263" s="648">
        <v>16.825800000000001</v>
      </c>
      <c r="E263" s="377">
        <v>15.99</v>
      </c>
      <c r="F263" s="377">
        <f t="shared" ref="F263:F268" si="86">C263*(E263-D263)</f>
        <v>-5163.5724000000046</v>
      </c>
      <c r="G263" s="377">
        <f t="shared" ref="G263:G268" si="87">IF(C263=0, 0,D263*C263)</f>
        <v>103949.79240000001</v>
      </c>
      <c r="H263" s="378">
        <f t="shared" ref="H263:H268" si="88">IF(C263=0, D263, (E263-D263)/D263)</f>
        <v>-4.9673715365688452E-2</v>
      </c>
      <c r="I263" s="377"/>
    </row>
    <row r="264" spans="2:9" x14ac:dyDescent="0.25">
      <c r="B264" s="647">
        <v>42612</v>
      </c>
      <c r="C264" s="376">
        <v>6678</v>
      </c>
      <c r="D264" s="648">
        <v>16.739999999999998</v>
      </c>
      <c r="E264" s="377">
        <v>15.55</v>
      </c>
      <c r="F264" s="464">
        <f t="shared" si="86"/>
        <v>-7946.8199999999852</v>
      </c>
      <c r="G264" s="377">
        <f t="shared" si="87"/>
        <v>111789.71999999999</v>
      </c>
      <c r="H264" s="379">
        <f t="shared" si="88"/>
        <v>-7.1087216248506446E-2</v>
      </c>
      <c r="I264" s="396"/>
    </row>
    <row r="265" spans="2:9" x14ac:dyDescent="0.25">
      <c r="B265" s="647">
        <v>42612</v>
      </c>
      <c r="C265" s="376">
        <v>7178</v>
      </c>
      <c r="D265" s="648">
        <v>16.6571</v>
      </c>
      <c r="E265" s="377">
        <v>15.55</v>
      </c>
      <c r="F265" s="377">
        <f t="shared" si="86"/>
        <v>-7946.7637999999934</v>
      </c>
      <c r="G265" s="377">
        <f t="shared" si="87"/>
        <v>119564.66379999999</v>
      </c>
      <c r="H265" s="378">
        <f t="shared" si="88"/>
        <v>-6.6464150422342369E-2</v>
      </c>
      <c r="I265" s="377"/>
    </row>
    <row r="266" spans="2:9" x14ac:dyDescent="0.25">
      <c r="B266" s="647">
        <v>42613</v>
      </c>
      <c r="C266" s="376">
        <v>7678</v>
      </c>
      <c r="D266" s="648">
        <v>16.565200000000001</v>
      </c>
      <c r="E266" s="377">
        <v>15.02</v>
      </c>
      <c r="F266" s="377">
        <f t="shared" si="86"/>
        <v>-11864.04560000001</v>
      </c>
      <c r="G266" s="377">
        <f t="shared" si="87"/>
        <v>127187.60560000001</v>
      </c>
      <c r="H266" s="378">
        <f t="shared" si="88"/>
        <v>-9.3279887957887692E-2</v>
      </c>
      <c r="I266" s="377" t="s">
        <v>265</v>
      </c>
    </row>
    <row r="267" spans="2:9" x14ac:dyDescent="0.25">
      <c r="B267" s="647">
        <v>42613</v>
      </c>
      <c r="C267" s="376">
        <v>8178</v>
      </c>
      <c r="D267" s="648">
        <v>16.474399999999999</v>
      </c>
      <c r="E267" s="377">
        <v>15.02</v>
      </c>
      <c r="F267" s="377">
        <f t="shared" si="86"/>
        <v>-11894.083199999997</v>
      </c>
      <c r="G267" s="377">
        <f t="shared" si="87"/>
        <v>134727.64319999999</v>
      </c>
      <c r="H267" s="378">
        <f t="shared" si="88"/>
        <v>-8.8282426067110162E-2</v>
      </c>
      <c r="I267" s="377" t="s">
        <v>266</v>
      </c>
    </row>
    <row r="268" spans="2:9" x14ac:dyDescent="0.25">
      <c r="B268" s="647">
        <v>42615</v>
      </c>
      <c r="C268" s="376">
        <v>7678</v>
      </c>
      <c r="D268" s="648">
        <v>16.528099999999998</v>
      </c>
      <c r="E268" s="377">
        <v>15.49</v>
      </c>
      <c r="F268" s="377">
        <f t="shared" si="86"/>
        <v>-7970.5317999999861</v>
      </c>
      <c r="G268" s="377">
        <f t="shared" si="87"/>
        <v>126902.75179999998</v>
      </c>
      <c r="H268" s="378">
        <f t="shared" si="88"/>
        <v>-6.2808187268953986E-2</v>
      </c>
      <c r="I268" s="377">
        <v>16.350000000000001</v>
      </c>
    </row>
    <row r="269" spans="2:9" x14ac:dyDescent="0.25">
      <c r="B269" s="647">
        <v>42616</v>
      </c>
      <c r="C269" s="376">
        <v>7678</v>
      </c>
      <c r="D269" s="648">
        <v>16.528099999999998</v>
      </c>
      <c r="E269" s="377">
        <v>15.64</v>
      </c>
      <c r="F269" s="377">
        <f>C269*(E269-D269)</f>
        <v>-6818.8317999999836</v>
      </c>
      <c r="G269" s="377">
        <f>IF(C269=0, 0,D269*C269)</f>
        <v>126902.75179999998</v>
      </c>
      <c r="H269" s="378">
        <f>IF(C269=0, D269, (E269-D269)/D269)</f>
        <v>-5.3732733950060681E-2</v>
      </c>
      <c r="I269" s="377"/>
    </row>
    <row r="270" spans="2:9" x14ac:dyDescent="0.25">
      <c r="B270" s="647">
        <v>42621</v>
      </c>
      <c r="C270" s="376">
        <v>7178</v>
      </c>
      <c r="D270" s="648">
        <v>16.545400000000001</v>
      </c>
      <c r="E270" s="377">
        <v>16.739999999999998</v>
      </c>
      <c r="F270" s="377">
        <f>C270*(E270-D270)</f>
        <v>1396.8387999999832</v>
      </c>
      <c r="G270" s="377">
        <f>IF(C270=0, 0,D270*C270)</f>
        <v>118762.8812</v>
      </c>
      <c r="H270" s="378">
        <f>IF(C270=0, D270, (E270-D270)/D270)</f>
        <v>1.1761577235968768E-2</v>
      </c>
      <c r="I270" s="377"/>
    </row>
    <row r="271" spans="2:9" x14ac:dyDescent="0.25">
      <c r="B271" s="647">
        <v>42621</v>
      </c>
      <c r="C271" s="397">
        <v>6678</v>
      </c>
      <c r="D271" s="649">
        <v>16.532299999999999</v>
      </c>
      <c r="E271" s="377">
        <v>16.739999999999998</v>
      </c>
      <c r="F271" s="377">
        <f>C271*(E271-D271)</f>
        <v>1387.0205999999941</v>
      </c>
      <c r="G271" s="377">
        <f>IF(C271=0, 0,D271*C271)</f>
        <v>110402.6994</v>
      </c>
      <c r="H271" s="378">
        <f>IF(C271=0, D271, (E271-D271)/D271)</f>
        <v>1.256328520532528E-2</v>
      </c>
      <c r="I271" s="377"/>
    </row>
    <row r="272" spans="2:9" x14ac:dyDescent="0.25">
      <c r="B272" s="647">
        <v>42621</v>
      </c>
      <c r="C272" s="376">
        <v>6458</v>
      </c>
      <c r="D272" s="648">
        <v>16.524263999999999</v>
      </c>
      <c r="E272" s="377">
        <v>16.739999999999998</v>
      </c>
      <c r="F272" s="377">
        <f>C272*(E272-D272)</f>
        <v>1393.2230879999981</v>
      </c>
      <c r="G272" s="377">
        <f>IF(C272=0, 0,D272*C272)</f>
        <v>106713.69691199998</v>
      </c>
      <c r="H272" s="378">
        <f>IF(C272=0, D272, (E272-D272)/D272)</f>
        <v>1.3055710075801242E-2</v>
      </c>
      <c r="I272" s="377"/>
    </row>
    <row r="273" spans="2:14" x14ac:dyDescent="0.25">
      <c r="B273" s="647">
        <v>42622</v>
      </c>
      <c r="C273" s="376">
        <v>7178</v>
      </c>
      <c r="D273" s="648">
        <v>16.477945999999999</v>
      </c>
      <c r="E273" s="377">
        <v>15.67</v>
      </c>
      <c r="F273" s="377">
        <f>C273*(E273-D273)</f>
        <v>-5799.4363879999955</v>
      </c>
      <c r="G273" s="377">
        <f>IF(C273=0, 0,D273*C273)</f>
        <v>118278.696388</v>
      </c>
      <c r="H273" s="378">
        <f>IF(C273=0, D273, (E273-D273)/D273)</f>
        <v>-4.9031960658203359E-2</v>
      </c>
      <c r="I273" s="377"/>
    </row>
    <row r="274" spans="2:14" x14ac:dyDescent="0.25">
      <c r="B274" s="647">
        <v>42622</v>
      </c>
      <c r="C274" s="376">
        <v>7678</v>
      </c>
      <c r="D274" s="648">
        <v>16.430541999999999</v>
      </c>
      <c r="E274" s="377">
        <v>15.67</v>
      </c>
      <c r="F274" s="377">
        <f t="shared" ref="F274:F280" si="89">C274*(E274-D274)</f>
        <v>-5839.4414759999936</v>
      </c>
      <c r="G274" s="377">
        <f t="shared" ref="G274:G280" si="90">IF(C274=0, 0,D274*C274)</f>
        <v>126153.70147599999</v>
      </c>
      <c r="H274" s="378">
        <f t="shared" ref="H274:H280" si="91">IF(C274=0, D274, (E274-D274)/D274)</f>
        <v>-4.6288308687564853E-2</v>
      </c>
      <c r="I274" s="377">
        <v>16.350000000000001</v>
      </c>
    </row>
    <row r="275" spans="2:14" x14ac:dyDescent="0.25">
      <c r="B275" s="647">
        <v>42625</v>
      </c>
      <c r="C275" s="397">
        <v>7678</v>
      </c>
      <c r="D275" s="649">
        <v>16.412330000000001</v>
      </c>
      <c r="E275" s="377">
        <v>15.47</v>
      </c>
      <c r="F275" s="377">
        <f t="shared" si="89"/>
        <v>-7235.2097400000011</v>
      </c>
      <c r="G275" s="377">
        <f t="shared" si="90"/>
        <v>126013.86974000001</v>
      </c>
      <c r="H275" s="378">
        <f t="shared" si="91"/>
        <v>-5.7415979327737135E-2</v>
      </c>
      <c r="I275" s="377"/>
    </row>
    <row r="276" spans="2:14" x14ac:dyDescent="0.25">
      <c r="B276" s="647">
        <v>42625</v>
      </c>
      <c r="C276" s="397">
        <v>7678</v>
      </c>
      <c r="D276" s="649">
        <v>16.355817999999999</v>
      </c>
      <c r="E276" s="377">
        <v>15.47</v>
      </c>
      <c r="F276" s="377">
        <f t="shared" si="89"/>
        <v>-6801.3106039999893</v>
      </c>
      <c r="G276" s="377">
        <f t="shared" si="90"/>
        <v>125579.970604</v>
      </c>
      <c r="H276" s="378">
        <f t="shared" si="91"/>
        <v>-5.4159198885680847E-2</v>
      </c>
      <c r="I276" s="377" t="s">
        <v>281</v>
      </c>
    </row>
    <row r="277" spans="2:14" x14ac:dyDescent="0.25">
      <c r="B277" s="647">
        <v>42626</v>
      </c>
      <c r="C277" s="376">
        <v>8278</v>
      </c>
      <c r="D277" s="648">
        <v>16.25066</v>
      </c>
      <c r="E277" s="377">
        <v>14.34</v>
      </c>
      <c r="F277" s="377">
        <f t="shared" si="89"/>
        <v>-15816.44348</v>
      </c>
      <c r="G277" s="377">
        <f t="shared" si="90"/>
        <v>134522.96348000001</v>
      </c>
      <c r="H277" s="379">
        <f t="shared" si="91"/>
        <v>-0.11757430159759666</v>
      </c>
      <c r="I277" s="377"/>
    </row>
    <row r="278" spans="2:14" x14ac:dyDescent="0.25">
      <c r="B278" s="647">
        <v>42626</v>
      </c>
      <c r="C278" s="376">
        <v>8678</v>
      </c>
      <c r="D278" s="648">
        <v>16.18149</v>
      </c>
      <c r="E278" s="377">
        <v>14.34</v>
      </c>
      <c r="F278" s="377">
        <f t="shared" si="89"/>
        <v>-15980.450220000002</v>
      </c>
      <c r="G278" s="377">
        <f t="shared" si="90"/>
        <v>140422.97021999999</v>
      </c>
      <c r="H278" s="379">
        <f t="shared" si="91"/>
        <v>-0.11380225183218605</v>
      </c>
      <c r="I278" s="377"/>
    </row>
    <row r="279" spans="2:14" x14ac:dyDescent="0.25">
      <c r="B279" s="647">
        <v>42626</v>
      </c>
      <c r="C279" s="376">
        <v>8978</v>
      </c>
      <c r="D279" s="648">
        <v>16.124635000000001</v>
      </c>
      <c r="E279" s="377">
        <v>14.34</v>
      </c>
      <c r="F279" s="377">
        <f t="shared" si="89"/>
        <v>-16022.453030000013</v>
      </c>
      <c r="G279" s="377">
        <f t="shared" si="90"/>
        <v>144766.97303000002</v>
      </c>
      <c r="H279" s="379">
        <f t="shared" si="91"/>
        <v>-0.11067754401882594</v>
      </c>
      <c r="I279" s="377"/>
    </row>
    <row r="280" spans="2:14" x14ac:dyDescent="0.25">
      <c r="B280" s="647">
        <v>42626</v>
      </c>
      <c r="C280" s="376">
        <v>9278</v>
      </c>
      <c r="D280" s="648">
        <v>16.064019999999999</v>
      </c>
      <c r="E280" s="377">
        <v>14.34</v>
      </c>
      <c r="F280" s="377">
        <f t="shared" si="89"/>
        <v>-15995.457559999995</v>
      </c>
      <c r="G280" s="377">
        <f t="shared" si="90"/>
        <v>149041.97756</v>
      </c>
      <c r="H280" s="379">
        <f t="shared" si="91"/>
        <v>-0.10732182853357998</v>
      </c>
      <c r="I280" s="377" t="s">
        <v>282</v>
      </c>
    </row>
    <row r="281" spans="2:14" x14ac:dyDescent="0.25">
      <c r="B281" s="647">
        <v>42627</v>
      </c>
      <c r="C281" s="376">
        <v>9478</v>
      </c>
      <c r="D281" s="648">
        <v>16.020790999999999</v>
      </c>
      <c r="E281" s="377">
        <v>14.01</v>
      </c>
      <c r="F281" s="377">
        <f t="shared" ref="F281:F288" si="92">C281*(E281-D281)</f>
        <v>-19058.277097999995</v>
      </c>
      <c r="G281" s="377">
        <f t="shared" ref="G281:G288" si="93">IF(C281=0, 0,D281*C281)</f>
        <v>151845.05709799999</v>
      </c>
      <c r="H281" s="379">
        <f t="shared" ref="H281:H288" si="94">IF(C281=0, D281, (E281-D281)/D281)</f>
        <v>-0.1255113433537707</v>
      </c>
      <c r="I281" s="377"/>
    </row>
    <row r="282" spans="2:14" x14ac:dyDescent="0.25">
      <c r="B282" s="647">
        <v>42628</v>
      </c>
      <c r="C282" s="376">
        <v>9478</v>
      </c>
      <c r="D282" s="648">
        <v>16.015726999999998</v>
      </c>
      <c r="E282" s="377">
        <v>14.26</v>
      </c>
      <c r="F282" s="377">
        <f t="shared" si="92"/>
        <v>-16640.780505999985</v>
      </c>
      <c r="G282" s="377">
        <f t="shared" si="93"/>
        <v>151797.06050599998</v>
      </c>
      <c r="H282" s="379">
        <f t="shared" si="94"/>
        <v>-0.1096251827968845</v>
      </c>
      <c r="I282" s="377"/>
      <c r="N282" s="30"/>
    </row>
    <row r="283" spans="2:14" x14ac:dyDescent="0.25">
      <c r="B283" s="647">
        <v>42629</v>
      </c>
      <c r="C283" s="376">
        <v>9478</v>
      </c>
      <c r="D283" s="648">
        <v>16.015726999999998</v>
      </c>
      <c r="E283" s="377">
        <v>14.24</v>
      </c>
      <c r="F283" s="377">
        <f t="shared" si="92"/>
        <v>-16830.340505999982</v>
      </c>
      <c r="G283" s="377">
        <f t="shared" si="93"/>
        <v>151797.06050599998</v>
      </c>
      <c r="H283" s="379">
        <f t="shared" si="94"/>
        <v>-0.1108739553315312</v>
      </c>
      <c r="I283" s="377"/>
    </row>
    <row r="284" spans="2:14" x14ac:dyDescent="0.25">
      <c r="B284" s="647">
        <v>42632</v>
      </c>
      <c r="C284" s="376">
        <v>9678</v>
      </c>
      <c r="D284" s="648">
        <v>15.975311</v>
      </c>
      <c r="E284" s="377">
        <v>14.09</v>
      </c>
      <c r="F284" s="377">
        <f t="shared" si="92"/>
        <v>-18246.039857999996</v>
      </c>
      <c r="G284" s="377">
        <f t="shared" si="93"/>
        <v>154609.05985799999</v>
      </c>
      <c r="H284" s="378">
        <f t="shared" si="94"/>
        <v>-0.11801404054043141</v>
      </c>
      <c r="I284" s="377"/>
    </row>
    <row r="285" spans="2:14" x14ac:dyDescent="0.25">
      <c r="B285" s="647">
        <v>42633</v>
      </c>
      <c r="C285" s="376">
        <v>9878</v>
      </c>
      <c r="D285" s="648">
        <v>15.937544000000001</v>
      </c>
      <c r="E285" s="377">
        <v>13.87</v>
      </c>
      <c r="F285" s="377">
        <f t="shared" si="92"/>
        <v>-20423.199632000014</v>
      </c>
      <c r="G285" s="377">
        <f t="shared" si="93"/>
        <v>157431.05963200002</v>
      </c>
      <c r="H285" s="378">
        <f t="shared" si="94"/>
        <v>-0.12972789282966068</v>
      </c>
      <c r="I285" s="377"/>
    </row>
    <row r="286" spans="2:14" x14ac:dyDescent="0.25">
      <c r="B286" s="647">
        <v>42633</v>
      </c>
      <c r="C286" s="376">
        <v>10000</v>
      </c>
      <c r="D286" s="648">
        <v>15.915126000000001</v>
      </c>
      <c r="E286" s="377">
        <v>13.87</v>
      </c>
      <c r="F286" s="377">
        <f t="shared" si="92"/>
        <v>-20451.260000000017</v>
      </c>
      <c r="G286" s="377">
        <f t="shared" si="93"/>
        <v>159151.26</v>
      </c>
      <c r="H286" s="378">
        <f t="shared" si="94"/>
        <v>-0.12850203008132022</v>
      </c>
      <c r="I286" s="377"/>
    </row>
    <row r="287" spans="2:14" x14ac:dyDescent="0.25">
      <c r="B287" s="647">
        <v>42634</v>
      </c>
      <c r="C287" s="376">
        <v>9678</v>
      </c>
      <c r="D287" s="648">
        <v>15.969538999999999</v>
      </c>
      <c r="E287" s="377">
        <v>14.65</v>
      </c>
      <c r="F287" s="377">
        <f t="shared" si="92"/>
        <v>-12770.498441999989</v>
      </c>
      <c r="G287" s="377">
        <f t="shared" si="93"/>
        <v>154553.19844199999</v>
      </c>
      <c r="H287" s="378">
        <f t="shared" si="94"/>
        <v>-8.2628496664806608E-2</v>
      </c>
      <c r="I287" s="377"/>
    </row>
    <row r="288" spans="2:14" x14ac:dyDescent="0.25">
      <c r="B288" s="647">
        <v>42634</v>
      </c>
      <c r="C288" s="376">
        <v>9278</v>
      </c>
      <c r="D288" s="648">
        <v>16.026872999999998</v>
      </c>
      <c r="E288" s="377">
        <v>14.65</v>
      </c>
      <c r="F288" s="377">
        <f t="shared" si="92"/>
        <v>-12774.627693999981</v>
      </c>
      <c r="G288" s="377">
        <f t="shared" si="93"/>
        <v>148697.32769399998</v>
      </c>
      <c r="H288" s="378">
        <f t="shared" si="94"/>
        <v>-8.5910270830747718E-2</v>
      </c>
      <c r="I288" s="377">
        <v>16</v>
      </c>
    </row>
    <row r="289" spans="2:9" x14ac:dyDescent="0.25">
      <c r="B289" s="647">
        <v>42635</v>
      </c>
      <c r="C289" s="376">
        <v>9278</v>
      </c>
      <c r="D289" s="648">
        <v>16.026872999999998</v>
      </c>
      <c r="E289" s="377">
        <v>14.87</v>
      </c>
      <c r="F289" s="377">
        <f t="shared" ref="F289:F300" si="95">C289*(E289-D289)</f>
        <v>-10733.467693999992</v>
      </c>
      <c r="G289" s="377">
        <f t="shared" ref="G289:G300" si="96">IF(C289=0, 0,D289*C289)</f>
        <v>148697.32769399998</v>
      </c>
      <c r="H289" s="378">
        <f t="shared" ref="H289:H300" si="97">IF(C289=0, D289, (E289-D289)/D289)</f>
        <v>-7.2183326092369937E-2</v>
      </c>
      <c r="I289" s="377"/>
    </row>
    <row r="290" spans="2:9" x14ac:dyDescent="0.25">
      <c r="B290" s="647">
        <v>42636</v>
      </c>
      <c r="C290" s="376">
        <v>9478</v>
      </c>
      <c r="D290" s="648">
        <v>15.992122</v>
      </c>
      <c r="E290" s="377">
        <v>14.49</v>
      </c>
      <c r="F290" s="377">
        <f t="shared" si="95"/>
        <v>-14237.112315999999</v>
      </c>
      <c r="G290" s="377">
        <f t="shared" si="96"/>
        <v>151573.33231600001</v>
      </c>
      <c r="H290" s="378">
        <f t="shared" si="97"/>
        <v>-9.39288732289561E-2</v>
      </c>
      <c r="I290" s="377"/>
    </row>
    <row r="291" spans="2:9" x14ac:dyDescent="0.25">
      <c r="B291" s="647">
        <v>42639</v>
      </c>
      <c r="C291" s="376">
        <v>9278</v>
      </c>
      <c r="D291" s="648">
        <v>16.019549999999999</v>
      </c>
      <c r="E291" s="377">
        <v>14.41</v>
      </c>
      <c r="F291" s="377">
        <f t="shared" si="95"/>
        <v>-14933.404899999989</v>
      </c>
      <c r="G291" s="377">
        <f t="shared" si="96"/>
        <v>148629.38489999998</v>
      </c>
      <c r="H291" s="378">
        <f t="shared" si="97"/>
        <v>-0.10047410819904422</v>
      </c>
      <c r="I291" s="377">
        <v>16</v>
      </c>
    </row>
    <row r="292" spans="2:9" x14ac:dyDescent="0.25">
      <c r="B292" s="647">
        <v>42639</v>
      </c>
      <c r="C292" s="376">
        <v>9478</v>
      </c>
      <c r="D292" s="648">
        <v>15.987468</v>
      </c>
      <c r="E292" s="377">
        <v>14.41</v>
      </c>
      <c r="F292" s="377">
        <f t="shared" si="95"/>
        <v>-14951.241703999996</v>
      </c>
      <c r="G292" s="377">
        <f t="shared" si="96"/>
        <v>151529.221704</v>
      </c>
      <c r="H292" s="378">
        <f t="shared" si="97"/>
        <v>-9.8669032519721048E-2</v>
      </c>
      <c r="I292" s="377"/>
    </row>
    <row r="293" spans="2:9" x14ac:dyDescent="0.25">
      <c r="B293" s="647">
        <v>42639</v>
      </c>
      <c r="C293" s="376">
        <v>9678</v>
      </c>
      <c r="D293" s="648">
        <v>15.954266000000001</v>
      </c>
      <c r="E293" s="377">
        <v>14.41</v>
      </c>
      <c r="F293" s="377">
        <f t="shared" si="95"/>
        <v>-14945.406348000004</v>
      </c>
      <c r="G293" s="377">
        <f t="shared" si="96"/>
        <v>154405.386348</v>
      </c>
      <c r="H293" s="378">
        <f t="shared" si="97"/>
        <v>-9.6793296538994669E-2</v>
      </c>
      <c r="I293" s="377"/>
    </row>
    <row r="294" spans="2:9" x14ac:dyDescent="0.25">
      <c r="B294" s="647">
        <v>42640</v>
      </c>
      <c r="C294" s="376">
        <v>10000</v>
      </c>
      <c r="D294" s="648">
        <v>15.890373</v>
      </c>
      <c r="E294" s="377">
        <v>14.06</v>
      </c>
      <c r="F294" s="377">
        <f t="shared" si="95"/>
        <v>-18303.73</v>
      </c>
      <c r="G294" s="377">
        <f t="shared" si="96"/>
        <v>158903.73000000001</v>
      </c>
      <c r="H294" s="378">
        <f t="shared" si="97"/>
        <v>-0.11518754153851517</v>
      </c>
      <c r="I294" s="377"/>
    </row>
    <row r="295" spans="2:9" x14ac:dyDescent="0.25">
      <c r="B295" s="647">
        <v>42641</v>
      </c>
      <c r="C295" s="376">
        <v>9278</v>
      </c>
      <c r="D295" s="648">
        <v>15.968</v>
      </c>
      <c r="E295" s="377">
        <v>15.18</v>
      </c>
      <c r="F295" s="377">
        <f t="shared" si="95"/>
        <v>-7311.0640000000021</v>
      </c>
      <c r="G295" s="377">
        <f t="shared" si="96"/>
        <v>148151.10399999999</v>
      </c>
      <c r="H295" s="378">
        <f t="shared" si="97"/>
        <v>-4.9348697394789594E-2</v>
      </c>
      <c r="I295" s="377" t="s">
        <v>295</v>
      </c>
    </row>
    <row r="296" spans="2:9" x14ac:dyDescent="0.25">
      <c r="B296" s="647">
        <v>42641</v>
      </c>
      <c r="C296" s="376">
        <v>8978</v>
      </c>
      <c r="D296" s="648">
        <v>15.991466000000001</v>
      </c>
      <c r="E296" s="377">
        <v>15.18</v>
      </c>
      <c r="F296" s="377">
        <f t="shared" si="95"/>
        <v>-7285.3417480000098</v>
      </c>
      <c r="G296" s="377">
        <f t="shared" si="96"/>
        <v>143571.38174800001</v>
      </c>
      <c r="H296" s="378">
        <f t="shared" si="97"/>
        <v>-5.0743690415875634E-2</v>
      </c>
      <c r="I296" s="377"/>
    </row>
    <row r="297" spans="2:9" x14ac:dyDescent="0.25">
      <c r="B297" s="647">
        <v>42642</v>
      </c>
      <c r="C297" s="376">
        <v>8678</v>
      </c>
      <c r="D297" s="648">
        <v>16.016100000000002</v>
      </c>
      <c r="E297" s="377">
        <v>15.9</v>
      </c>
      <c r="F297" s="377">
        <f t="shared" si="95"/>
        <v>-1007.5158000000105</v>
      </c>
      <c r="G297" s="377">
        <f t="shared" si="96"/>
        <v>138987.71580000001</v>
      </c>
      <c r="H297" s="378">
        <f t="shared" si="97"/>
        <v>-7.2489557382884214E-3</v>
      </c>
      <c r="I297" s="377"/>
    </row>
    <row r="298" spans="2:9" x14ac:dyDescent="0.25">
      <c r="B298" s="647">
        <v>42642</v>
      </c>
      <c r="C298" s="376">
        <v>7978</v>
      </c>
      <c r="D298" s="648">
        <v>16.036825</v>
      </c>
      <c r="E298" s="377">
        <v>15.9</v>
      </c>
      <c r="F298" s="377">
        <f t="shared" si="95"/>
        <v>-1091.5898499999998</v>
      </c>
      <c r="G298" s="377">
        <f t="shared" si="96"/>
        <v>127941.78985</v>
      </c>
      <c r="H298" s="378">
        <f t="shared" si="97"/>
        <v>-8.5319257396648009E-3</v>
      </c>
      <c r="I298" s="377"/>
    </row>
    <row r="299" spans="2:9" x14ac:dyDescent="0.25">
      <c r="B299" s="647">
        <v>42642</v>
      </c>
      <c r="C299" s="376">
        <v>7764</v>
      </c>
      <c r="D299" s="648">
        <v>16.038399999999999</v>
      </c>
      <c r="E299" s="377">
        <v>15.9</v>
      </c>
      <c r="F299" s="377">
        <f t="shared" si="95"/>
        <v>-1074.5375999999919</v>
      </c>
      <c r="G299" s="377">
        <f t="shared" si="96"/>
        <v>124522.1376</v>
      </c>
      <c r="H299" s="378">
        <f t="shared" si="97"/>
        <v>-8.6292897047086353E-3</v>
      </c>
      <c r="I299" s="377"/>
    </row>
    <row r="300" spans="2:9" x14ac:dyDescent="0.25">
      <c r="B300" s="647">
        <v>42642</v>
      </c>
      <c r="C300" s="376">
        <v>8178</v>
      </c>
      <c r="D300" s="648">
        <v>16.019235999999999</v>
      </c>
      <c r="E300" s="377">
        <v>15.9</v>
      </c>
      <c r="F300" s="377">
        <f t="shared" si="95"/>
        <v>-975.11200799999187</v>
      </c>
      <c r="G300" s="377">
        <f t="shared" si="96"/>
        <v>131005.31200799999</v>
      </c>
      <c r="H300" s="378">
        <f t="shared" si="97"/>
        <v>-7.4433012910228059E-3</v>
      </c>
      <c r="I300" s="377" t="s">
        <v>296</v>
      </c>
    </row>
    <row r="301" spans="2:9" x14ac:dyDescent="0.25">
      <c r="B301" s="647">
        <v>42643</v>
      </c>
      <c r="C301" s="376">
        <v>8178</v>
      </c>
      <c r="D301" s="648">
        <v>16.019235999999999</v>
      </c>
      <c r="E301" s="377">
        <v>15.81</v>
      </c>
      <c r="F301" s="377">
        <f>C301*(E301-D301)</f>
        <v>-1711.1320079999907</v>
      </c>
      <c r="G301" s="377">
        <f>IF(C301=0, 0,D301*C301)</f>
        <v>131005.31200799999</v>
      </c>
      <c r="H301" s="378">
        <f>IF(C301=0, D301, (E301-D301)/D301)</f>
        <v>-1.3061546755413234E-2</v>
      </c>
      <c r="I301" s="377"/>
    </row>
    <row r="302" spans="2:9" x14ac:dyDescent="0.25">
      <c r="B302" s="647">
        <v>42646</v>
      </c>
      <c r="C302" s="376">
        <v>8178</v>
      </c>
      <c r="D302" s="648">
        <v>16.019235999999999</v>
      </c>
      <c r="E302" s="377">
        <v>15.98</v>
      </c>
      <c r="F302" s="377">
        <f t="shared" ref="F302:F311" si="98">C302*(E302-D302)</f>
        <v>-320.8720079999913</v>
      </c>
      <c r="G302" s="377">
        <f t="shared" ref="G302:G311" si="99">IF(C302=0, 0,D302*C302)</f>
        <v>131005.31200799999</v>
      </c>
      <c r="H302" s="378">
        <f t="shared" ref="H302:H311" si="100">IF(C302=0, D302, (E302-D302)/D302)</f>
        <v>-2.4493053226757469E-3</v>
      </c>
      <c r="I302" s="377"/>
    </row>
    <row r="303" spans="2:9" x14ac:dyDescent="0.25">
      <c r="B303" s="647">
        <v>42647</v>
      </c>
      <c r="C303" s="376">
        <v>8678</v>
      </c>
      <c r="D303" s="648">
        <v>16.010061</v>
      </c>
      <c r="E303" s="377">
        <v>15.63</v>
      </c>
      <c r="F303" s="377">
        <f t="shared" si="98"/>
        <v>-3298.169357999996</v>
      </c>
      <c r="G303" s="377">
        <f t="shared" si="99"/>
        <v>138935.309358</v>
      </c>
      <c r="H303" s="378">
        <f t="shared" si="100"/>
        <v>-2.3738885192255015E-2</v>
      </c>
      <c r="I303" s="377"/>
    </row>
    <row r="304" spans="2:9" x14ac:dyDescent="0.25">
      <c r="B304" s="647">
        <v>42647</v>
      </c>
      <c r="C304" s="376">
        <v>9178</v>
      </c>
      <c r="D304" s="648">
        <v>15.988811</v>
      </c>
      <c r="E304" s="377">
        <v>15.63</v>
      </c>
      <c r="F304" s="377">
        <f t="shared" si="98"/>
        <v>-3293.1673579999938</v>
      </c>
      <c r="G304" s="377">
        <f t="shared" si="99"/>
        <v>146745.30735799999</v>
      </c>
      <c r="H304" s="378">
        <f t="shared" si="100"/>
        <v>-2.2441381038277287E-2</v>
      </c>
      <c r="I304" s="377"/>
    </row>
    <row r="305" spans="2:9" x14ac:dyDescent="0.25">
      <c r="B305" s="647">
        <v>42648</v>
      </c>
      <c r="C305" s="376">
        <v>8178</v>
      </c>
      <c r="D305" s="648">
        <v>15.977725</v>
      </c>
      <c r="E305" s="377">
        <v>16.12</v>
      </c>
      <c r="F305" s="377">
        <f t="shared" si="98"/>
        <v>1163.524950000012</v>
      </c>
      <c r="G305" s="377">
        <f t="shared" si="99"/>
        <v>130665.83504999999</v>
      </c>
      <c r="H305" s="378">
        <f t="shared" si="100"/>
        <v>8.904584351026288E-3</v>
      </c>
      <c r="I305" s="377">
        <v>15.75</v>
      </c>
    </row>
    <row r="306" spans="2:9" x14ac:dyDescent="0.25">
      <c r="B306" s="647">
        <v>42648</v>
      </c>
      <c r="C306" s="397">
        <v>7678</v>
      </c>
      <c r="D306" s="649">
        <v>15.951529000000001</v>
      </c>
      <c r="E306" s="377">
        <v>16.12</v>
      </c>
      <c r="F306" s="377">
        <f t="shared" si="98"/>
        <v>1293.5203380000021</v>
      </c>
      <c r="G306" s="377">
        <f t="shared" si="99"/>
        <v>122475.839662</v>
      </c>
      <c r="H306" s="378">
        <f t="shared" si="100"/>
        <v>1.0561432700275958E-2</v>
      </c>
      <c r="I306" s="377" t="s">
        <v>300</v>
      </c>
    </row>
    <row r="307" spans="2:9" ht="15" customHeight="1" x14ac:dyDescent="0.25">
      <c r="B307" s="647">
        <v>42649</v>
      </c>
      <c r="C307" s="376">
        <v>8678</v>
      </c>
      <c r="D307" s="648">
        <v>15.941579000000001</v>
      </c>
      <c r="E307" s="377">
        <v>16.079999999999998</v>
      </c>
      <c r="F307" s="377">
        <f t="shared" si="98"/>
        <v>1201.2174379999781</v>
      </c>
      <c r="G307" s="377">
        <f t="shared" si="99"/>
        <v>138341.022562</v>
      </c>
      <c r="H307" s="378">
        <f t="shared" si="100"/>
        <v>8.683016908174369E-3</v>
      </c>
      <c r="I307" s="377"/>
    </row>
    <row r="308" spans="2:9" x14ac:dyDescent="0.25">
      <c r="B308" s="647">
        <v>42650</v>
      </c>
      <c r="C308" s="376">
        <v>8978</v>
      </c>
      <c r="D308" s="648">
        <v>15.935176999999999</v>
      </c>
      <c r="E308" s="377">
        <v>15.56</v>
      </c>
      <c r="F308" s="377">
        <f t="shared" si="98"/>
        <v>-3368.3391059999908</v>
      </c>
      <c r="G308" s="377">
        <f t="shared" si="99"/>
        <v>143066.01910599999</v>
      </c>
      <c r="H308" s="378">
        <f t="shared" si="100"/>
        <v>-2.354394933925108E-2</v>
      </c>
      <c r="I308" s="377"/>
    </row>
    <row r="309" spans="2:9" x14ac:dyDescent="0.25">
      <c r="B309" s="647">
        <v>42650</v>
      </c>
      <c r="C309" s="376">
        <v>9278</v>
      </c>
      <c r="D309" s="648">
        <v>15.923692000000001</v>
      </c>
      <c r="E309" s="377">
        <v>15.56</v>
      </c>
      <c r="F309" s="377">
        <f t="shared" si="98"/>
        <v>-3374.3343760000034</v>
      </c>
      <c r="G309" s="377">
        <f t="shared" si="99"/>
        <v>147740.01437600001</v>
      </c>
      <c r="H309" s="378">
        <f t="shared" si="100"/>
        <v>-2.2839678134945106E-2</v>
      </c>
      <c r="I309" s="377">
        <v>15.8</v>
      </c>
    </row>
    <row r="310" spans="2:9" x14ac:dyDescent="0.25">
      <c r="B310" s="647">
        <v>42653</v>
      </c>
      <c r="C310" s="397">
        <v>9678</v>
      </c>
      <c r="D310" s="649">
        <v>15.9153</v>
      </c>
      <c r="E310" s="377">
        <v>15.72</v>
      </c>
      <c r="F310" s="377">
        <f t="shared" si="98"/>
        <v>-1890.1133999999961</v>
      </c>
      <c r="G310" s="377">
        <f t="shared" si="99"/>
        <v>154028.27340000001</v>
      </c>
      <c r="H310" s="378">
        <f t="shared" si="100"/>
        <v>-1.2271210721758281E-2</v>
      </c>
      <c r="I310" s="377"/>
    </row>
    <row r="311" spans="2:9" x14ac:dyDescent="0.25">
      <c r="B311" s="647">
        <v>42661</v>
      </c>
      <c r="C311" s="397">
        <v>10000</v>
      </c>
      <c r="D311" s="649">
        <v>15.901258</v>
      </c>
      <c r="E311" s="377">
        <v>14.2</v>
      </c>
      <c r="F311" s="377">
        <f t="shared" si="98"/>
        <v>-17012.580000000009</v>
      </c>
      <c r="G311" s="377">
        <f t="shared" si="99"/>
        <v>159012.58000000002</v>
      </c>
      <c r="H311" s="378">
        <f t="shared" si="100"/>
        <v>-0.10698889358313669</v>
      </c>
      <c r="I311" s="377"/>
    </row>
    <row r="312" spans="2:9" x14ac:dyDescent="0.25">
      <c r="B312" s="647">
        <v>42663</v>
      </c>
      <c r="C312" s="376">
        <v>10000</v>
      </c>
      <c r="D312" s="648">
        <v>15.901258</v>
      </c>
      <c r="E312" s="377">
        <v>14.7</v>
      </c>
      <c r="F312" s="377">
        <f>C312*(E312-D312)</f>
        <v>-12012.580000000011</v>
      </c>
      <c r="G312" s="377">
        <f>IF(C312=0, 0,D312*C312)</f>
        <v>159012.58000000002</v>
      </c>
      <c r="H312" s="379">
        <f>IF(C312=0, D312, (E312-D312)/D312)</f>
        <v>-7.5544840540289399E-2</v>
      </c>
      <c r="I312" s="377"/>
    </row>
    <row r="313" spans="2:9" x14ac:dyDescent="0.25">
      <c r="B313" s="647">
        <v>42668</v>
      </c>
      <c r="C313" s="376">
        <v>11000</v>
      </c>
      <c r="D313" s="648">
        <v>15.74728</v>
      </c>
      <c r="E313" s="377">
        <v>14.18</v>
      </c>
      <c r="F313" s="377">
        <f>C313*(E313-D313)</f>
        <v>-17240.080000000002</v>
      </c>
      <c r="G313" s="377">
        <f>IF(C313=0, 0,D313*C313)</f>
        <v>173220.08</v>
      </c>
      <c r="H313" s="379">
        <f>IF(C313=0, D313, (E313-D313)/D313)</f>
        <v>-9.9527029429844413E-2</v>
      </c>
      <c r="I313" s="377"/>
    </row>
    <row r="314" spans="2:9" x14ac:dyDescent="0.25">
      <c r="B314" s="647">
        <v>42670</v>
      </c>
      <c r="C314" s="376">
        <v>11500</v>
      </c>
      <c r="D314" s="648">
        <v>15.679137000000001</v>
      </c>
      <c r="E314" s="377">
        <v>13.95</v>
      </c>
      <c r="F314" s="377">
        <f>C314*(E314-D314)</f>
        <v>-19885.075500000017</v>
      </c>
      <c r="G314" s="377">
        <f>IF(C314=0, 0,D314*C314)</f>
        <v>180310.07550000001</v>
      </c>
      <c r="H314" s="379">
        <f>IF(C314=0, D314, (E314-D314)/D314)</f>
        <v>-0.11028266415428357</v>
      </c>
      <c r="I314" s="377"/>
    </row>
    <row r="315" spans="2:9" x14ac:dyDescent="0.25">
      <c r="B315" s="647">
        <v>42670</v>
      </c>
      <c r="C315" s="376">
        <v>12000</v>
      </c>
      <c r="D315" s="648">
        <v>15.6113</v>
      </c>
      <c r="E315" s="377">
        <v>13.95</v>
      </c>
      <c r="F315" s="377">
        <f t="shared" ref="F315:F322" si="101">C315*(E315-D315)</f>
        <v>-19935.600000000009</v>
      </c>
      <c r="G315" s="377">
        <f t="shared" ref="G315:G322" si="102">IF(C315=0, 0,D315*C315)</f>
        <v>187335.6</v>
      </c>
      <c r="H315" s="379">
        <f t="shared" ref="H315:H322" si="103">IF(C315=0, D315, (E315-D315)/D315)</f>
        <v>-0.10641650599245422</v>
      </c>
      <c r="I315" s="377"/>
    </row>
    <row r="316" spans="2:9" x14ac:dyDescent="0.25">
      <c r="B316" s="647">
        <v>42670</v>
      </c>
      <c r="C316" s="376">
        <v>12500</v>
      </c>
      <c r="D316" s="648">
        <v>15.542006000000001</v>
      </c>
      <c r="E316" s="377">
        <v>13.95</v>
      </c>
      <c r="F316" s="377">
        <f t="shared" si="101"/>
        <v>-19900.075000000015</v>
      </c>
      <c r="G316" s="377">
        <f t="shared" si="102"/>
        <v>194275.07500000001</v>
      </c>
      <c r="H316" s="379">
        <f t="shared" si="103"/>
        <v>-0.10243246592492637</v>
      </c>
      <c r="I316" s="377"/>
    </row>
    <row r="317" spans="2:9" x14ac:dyDescent="0.25">
      <c r="B317" s="647">
        <v>42671</v>
      </c>
      <c r="C317" s="376">
        <v>12500</v>
      </c>
      <c r="D317" s="648">
        <v>15.536431</v>
      </c>
      <c r="E317" s="377">
        <v>13.72</v>
      </c>
      <c r="F317" s="377">
        <f t="shared" si="101"/>
        <v>-22705.387499999997</v>
      </c>
      <c r="G317" s="377">
        <f t="shared" si="102"/>
        <v>194205.38750000001</v>
      </c>
      <c r="H317" s="379">
        <f t="shared" si="103"/>
        <v>-0.11691430290521676</v>
      </c>
      <c r="I317" s="377"/>
    </row>
    <row r="318" spans="2:9" x14ac:dyDescent="0.25">
      <c r="B318" s="647">
        <v>42674</v>
      </c>
      <c r="C318" s="376">
        <v>12500</v>
      </c>
      <c r="D318" s="648">
        <v>15.5313</v>
      </c>
      <c r="E318" s="377">
        <v>13.18</v>
      </c>
      <c r="F318" s="377">
        <f t="shared" si="101"/>
        <v>-29391.250000000004</v>
      </c>
      <c r="G318" s="377">
        <f t="shared" si="102"/>
        <v>194141.25</v>
      </c>
      <c r="H318" s="379">
        <f t="shared" si="103"/>
        <v>-0.15139106192012261</v>
      </c>
      <c r="I318" s="377"/>
    </row>
    <row r="319" spans="2:9" x14ac:dyDescent="0.25">
      <c r="B319" s="647">
        <v>42676</v>
      </c>
      <c r="C319" s="376">
        <v>12500</v>
      </c>
      <c r="D319" s="648">
        <v>15.528746</v>
      </c>
      <c r="E319" s="377">
        <v>12.78</v>
      </c>
      <c r="F319" s="377">
        <f t="shared" si="101"/>
        <v>-34359.325000000004</v>
      </c>
      <c r="G319" s="377">
        <f t="shared" si="102"/>
        <v>194109.32500000001</v>
      </c>
      <c r="H319" s="378">
        <f t="shared" si="103"/>
        <v>-0.17701017197396368</v>
      </c>
      <c r="I319" s="377"/>
    </row>
    <row r="320" spans="2:9" x14ac:dyDescent="0.25">
      <c r="B320" s="647">
        <v>42677</v>
      </c>
      <c r="C320" s="376">
        <v>10000</v>
      </c>
      <c r="D320" s="648">
        <v>15.813000000000001</v>
      </c>
      <c r="E320" s="377">
        <v>14.15</v>
      </c>
      <c r="F320" s="377">
        <f t="shared" si="101"/>
        <v>-16630.000000000004</v>
      </c>
      <c r="G320" s="377">
        <f t="shared" si="102"/>
        <v>158130</v>
      </c>
      <c r="H320" s="378">
        <f t="shared" si="103"/>
        <v>-0.10516663504711314</v>
      </c>
      <c r="I320" s="377"/>
    </row>
    <row r="321" spans="2:10" x14ac:dyDescent="0.25">
      <c r="B321" s="647">
        <v>42678</v>
      </c>
      <c r="C321" s="376">
        <v>11000</v>
      </c>
      <c r="D321" s="648">
        <v>15.62</v>
      </c>
      <c r="E321" s="377">
        <v>13.69</v>
      </c>
      <c r="F321" s="377">
        <f t="shared" si="101"/>
        <v>-21229.999999999996</v>
      </c>
      <c r="G321" s="377">
        <f t="shared" si="102"/>
        <v>171820</v>
      </c>
      <c r="H321" s="378">
        <f t="shared" si="103"/>
        <v>-0.12355953905249678</v>
      </c>
      <c r="I321" s="377"/>
    </row>
    <row r="322" spans="2:10" x14ac:dyDescent="0.25">
      <c r="B322" s="647">
        <v>42701</v>
      </c>
      <c r="C322" s="376">
        <v>7678</v>
      </c>
      <c r="D322" s="648">
        <v>15.484220000000001</v>
      </c>
      <c r="E322" s="377">
        <v>16.28</v>
      </c>
      <c r="F322" s="377">
        <f t="shared" si="101"/>
        <v>6109.9988400000047</v>
      </c>
      <c r="G322" s="377">
        <f t="shared" si="102"/>
        <v>118887.84116000001</v>
      </c>
      <c r="H322" s="378">
        <f t="shared" si="103"/>
        <v>5.1392966516879801E-2</v>
      </c>
      <c r="I322" s="377" t="s">
        <v>312</v>
      </c>
    </row>
    <row r="323" spans="2:10" x14ac:dyDescent="0.25">
      <c r="B323" s="647">
        <v>42702</v>
      </c>
      <c r="C323" s="376">
        <v>8178</v>
      </c>
      <c r="D323" s="648">
        <v>15.519399999999999</v>
      </c>
      <c r="E323" s="377">
        <v>15.62</v>
      </c>
      <c r="F323" s="377">
        <f t="shared" ref="F323:F340" si="104">C323*(E323-D323)</f>
        <v>822.70680000000016</v>
      </c>
      <c r="G323" s="377">
        <f t="shared" ref="G323:G340" si="105">IF(C323=0, 0,D323*C323)</f>
        <v>126917.6532</v>
      </c>
      <c r="H323" s="378">
        <f t="shared" ref="H323:H340" si="106">IF(C323=0, D323, (E323-D323)/D323)</f>
        <v>6.4822093637640649E-3</v>
      </c>
      <c r="I323" s="377" t="s">
        <v>318</v>
      </c>
    </row>
    <row r="324" spans="2:10" x14ac:dyDescent="0.25">
      <c r="B324" s="647">
        <v>42702</v>
      </c>
      <c r="C324" s="376">
        <v>8678</v>
      </c>
      <c r="D324" s="648">
        <v>15.5304</v>
      </c>
      <c r="E324" s="377">
        <v>15.54</v>
      </c>
      <c r="F324" s="377">
        <f t="shared" si="104"/>
        <v>83.308799999990825</v>
      </c>
      <c r="G324" s="377">
        <f t="shared" si="105"/>
        <v>134772.8112</v>
      </c>
      <c r="H324" s="378">
        <f t="shared" si="106"/>
        <v>6.1814248184199655E-4</v>
      </c>
      <c r="I324" s="377"/>
    </row>
    <row r="325" spans="2:10" x14ac:dyDescent="0.25">
      <c r="B325" s="647">
        <v>42703</v>
      </c>
      <c r="C325" s="376">
        <v>8978</v>
      </c>
      <c r="D325" s="648">
        <v>15.5053</v>
      </c>
      <c r="E325" s="377">
        <v>14.95</v>
      </c>
      <c r="F325" s="377">
        <f t="shared" si="104"/>
        <v>-4985.4834000000074</v>
      </c>
      <c r="G325" s="377">
        <f t="shared" si="105"/>
        <v>139206.5834</v>
      </c>
      <c r="H325" s="378">
        <f t="shared" si="106"/>
        <v>-3.5813560524465882E-2</v>
      </c>
      <c r="I325" s="377"/>
    </row>
    <row r="326" spans="2:10" x14ac:dyDescent="0.25">
      <c r="B326" s="647">
        <v>42704</v>
      </c>
      <c r="C326" s="376">
        <v>5178</v>
      </c>
      <c r="D326" s="648">
        <v>14.3947</v>
      </c>
      <c r="E326" s="377">
        <v>18.059999999999999</v>
      </c>
      <c r="F326" s="377">
        <f t="shared" si="104"/>
        <v>18978.923399999992</v>
      </c>
      <c r="G326" s="377">
        <f t="shared" si="105"/>
        <v>74535.756600000008</v>
      </c>
      <c r="H326" s="378">
        <f t="shared" si="106"/>
        <v>0.25462843963403187</v>
      </c>
      <c r="I326" s="377"/>
    </row>
    <row r="327" spans="2:10" x14ac:dyDescent="0.25">
      <c r="B327" s="647">
        <v>42705</v>
      </c>
      <c r="C327" s="376">
        <v>4678</v>
      </c>
      <c r="D327" s="648">
        <v>13.905799999999999</v>
      </c>
      <c r="E327" s="377">
        <v>17.89</v>
      </c>
      <c r="F327" s="377">
        <f t="shared" si="104"/>
        <v>18638.087600000006</v>
      </c>
      <c r="G327" s="377">
        <f t="shared" si="105"/>
        <v>65051.332399999999</v>
      </c>
      <c r="H327" s="378">
        <f t="shared" si="106"/>
        <v>0.28651354111234173</v>
      </c>
      <c r="I327" s="377"/>
    </row>
    <row r="328" spans="2:10" x14ac:dyDescent="0.25">
      <c r="B328" s="647">
        <v>42705</v>
      </c>
      <c r="C328" s="376">
        <v>5000</v>
      </c>
      <c r="D328" s="648">
        <v>14.1645</v>
      </c>
      <c r="E328" s="377">
        <v>17.89</v>
      </c>
      <c r="F328" s="377">
        <f t="shared" si="104"/>
        <v>18627.5</v>
      </c>
      <c r="G328" s="377">
        <f t="shared" si="105"/>
        <v>70822.5</v>
      </c>
      <c r="H328" s="378">
        <f t="shared" si="106"/>
        <v>0.2630166966712556</v>
      </c>
      <c r="I328" s="377"/>
    </row>
    <row r="329" spans="2:10" x14ac:dyDescent="0.25">
      <c r="B329" s="647">
        <v>42708</v>
      </c>
      <c r="C329" s="376">
        <v>5000</v>
      </c>
      <c r="D329" s="648">
        <v>14.1645</v>
      </c>
      <c r="E329" s="377">
        <v>18.2</v>
      </c>
      <c r="F329" s="377">
        <f t="shared" si="104"/>
        <v>20177.499999999996</v>
      </c>
      <c r="G329" s="377">
        <f t="shared" si="105"/>
        <v>70822.5</v>
      </c>
      <c r="H329" s="378">
        <f t="shared" si="106"/>
        <v>0.28490239683716323</v>
      </c>
      <c r="I329" s="377"/>
    </row>
    <row r="330" spans="2:10" x14ac:dyDescent="0.25">
      <c r="B330" s="647">
        <v>42711</v>
      </c>
      <c r="C330" s="376">
        <v>5000</v>
      </c>
      <c r="D330" s="648">
        <v>14.143514</v>
      </c>
      <c r="E330" s="377">
        <v>18.420000000000002</v>
      </c>
      <c r="F330" s="377">
        <f t="shared" si="104"/>
        <v>21382.430000000011</v>
      </c>
      <c r="G330" s="377">
        <f t="shared" si="105"/>
        <v>70717.569999999992</v>
      </c>
      <c r="H330" s="378">
        <f t="shared" si="106"/>
        <v>0.3023637548631834</v>
      </c>
      <c r="I330" s="377"/>
    </row>
    <row r="331" spans="2:10" x14ac:dyDescent="0.25">
      <c r="B331" s="647">
        <v>42713</v>
      </c>
      <c r="C331" s="376">
        <v>5000</v>
      </c>
      <c r="D331" s="648">
        <v>14.127554</v>
      </c>
      <c r="E331" s="377">
        <v>18.25</v>
      </c>
      <c r="F331" s="377">
        <f t="shared" si="104"/>
        <v>20612.23</v>
      </c>
      <c r="G331" s="377">
        <f t="shared" si="105"/>
        <v>70637.77</v>
      </c>
      <c r="H331" s="378">
        <f t="shared" si="106"/>
        <v>0.29180182216964096</v>
      </c>
      <c r="I331" s="377"/>
    </row>
    <row r="332" spans="2:10" x14ac:dyDescent="0.25">
      <c r="B332" s="647">
        <v>42716</v>
      </c>
      <c r="C332" s="376">
        <v>5000</v>
      </c>
      <c r="D332" s="648">
        <v>14.0276</v>
      </c>
      <c r="E332" s="377">
        <v>18.489999999999998</v>
      </c>
      <c r="F332" s="377">
        <f t="shared" si="104"/>
        <v>22311.999999999993</v>
      </c>
      <c r="G332" s="377">
        <f t="shared" si="105"/>
        <v>70138</v>
      </c>
      <c r="H332" s="378">
        <f t="shared" si="106"/>
        <v>0.3181157147338104</v>
      </c>
      <c r="I332" s="377" t="s">
        <v>186</v>
      </c>
    </row>
    <row r="333" spans="2:10" x14ac:dyDescent="0.25">
      <c r="B333" s="647">
        <v>42718</v>
      </c>
      <c r="C333" s="376">
        <v>5000</v>
      </c>
      <c r="D333" s="648">
        <v>14.025399999999999</v>
      </c>
      <c r="E333" s="377">
        <v>18.2</v>
      </c>
      <c r="F333" s="377">
        <f t="shared" si="104"/>
        <v>20873</v>
      </c>
      <c r="G333" s="377">
        <f t="shared" si="105"/>
        <v>70127</v>
      </c>
      <c r="H333" s="378">
        <f t="shared" si="106"/>
        <v>0.29764569994438661</v>
      </c>
      <c r="I333" s="377">
        <v>13.8</v>
      </c>
    </row>
    <row r="334" spans="2:10" x14ac:dyDescent="0.25">
      <c r="B334" s="647">
        <v>42726</v>
      </c>
      <c r="C334" s="376">
        <v>5000</v>
      </c>
      <c r="D334" s="648">
        <v>14.025399999999999</v>
      </c>
      <c r="E334" s="377">
        <v>18.04</v>
      </c>
      <c r="F334" s="377">
        <f t="shared" si="104"/>
        <v>20073</v>
      </c>
      <c r="G334" s="377">
        <f t="shared" si="105"/>
        <v>70127</v>
      </c>
      <c r="H334" s="378">
        <f t="shared" si="106"/>
        <v>0.28623782565916123</v>
      </c>
      <c r="I334" s="377"/>
    </row>
    <row r="335" spans="2:10" x14ac:dyDescent="0.25">
      <c r="B335" s="647">
        <v>42733</v>
      </c>
      <c r="C335" s="376">
        <v>6000</v>
      </c>
      <c r="D335" s="648">
        <v>14.627558000000001</v>
      </c>
      <c r="E335" s="377">
        <v>17.57</v>
      </c>
      <c r="F335" s="464">
        <f t="shared" si="104"/>
        <v>17654.651999999998</v>
      </c>
      <c r="G335" s="377">
        <f t="shared" si="105"/>
        <v>87765.347999999998</v>
      </c>
      <c r="H335" s="379">
        <f t="shared" si="106"/>
        <v>0.20115743174629694</v>
      </c>
      <c r="I335" s="377"/>
      <c r="J335" s="3"/>
    </row>
    <row r="336" spans="2:10" x14ac:dyDescent="0.25">
      <c r="B336" s="647">
        <v>42734</v>
      </c>
      <c r="C336" s="376">
        <v>6000</v>
      </c>
      <c r="D336" s="648">
        <v>14.562623</v>
      </c>
      <c r="E336" s="377">
        <v>17.309999999999999</v>
      </c>
      <c r="F336" s="464">
        <f t="shared" si="104"/>
        <v>16484.261999999992</v>
      </c>
      <c r="G336" s="377">
        <f t="shared" si="105"/>
        <v>87375.737999999998</v>
      </c>
      <c r="H336" s="379">
        <f t="shared" si="106"/>
        <v>0.18865948806063293</v>
      </c>
      <c r="I336" s="377"/>
    </row>
    <row r="337" spans="1:9" x14ac:dyDescent="0.25">
      <c r="B337" s="647">
        <v>42739</v>
      </c>
      <c r="C337" s="376">
        <v>5500</v>
      </c>
      <c r="D337" s="648">
        <v>14.242898</v>
      </c>
      <c r="E337" s="377">
        <v>18.05</v>
      </c>
      <c r="F337" s="464">
        <f t="shared" si="104"/>
        <v>20939.061000000002</v>
      </c>
      <c r="G337" s="377">
        <f t="shared" si="105"/>
        <v>78335.938999999998</v>
      </c>
      <c r="H337" s="379">
        <f t="shared" si="106"/>
        <v>0.26729827033796072</v>
      </c>
      <c r="I337" s="377"/>
    </row>
    <row r="338" spans="1:9" x14ac:dyDescent="0.25">
      <c r="B338" s="647">
        <v>42741</v>
      </c>
      <c r="C338" s="376">
        <v>6000</v>
      </c>
      <c r="D338" s="648">
        <v>14.54599</v>
      </c>
      <c r="E338" s="377">
        <v>17.98</v>
      </c>
      <c r="F338" s="464">
        <f t="shared" si="104"/>
        <v>20604.060000000005</v>
      </c>
      <c r="G338" s="377">
        <f t="shared" si="105"/>
        <v>87275.94</v>
      </c>
      <c r="H338" s="379">
        <f t="shared" si="106"/>
        <v>0.23607949682352322</v>
      </c>
      <c r="I338" s="377"/>
    </row>
    <row r="339" spans="1:9" ht="15" customHeight="1" x14ac:dyDescent="0.25">
      <c r="B339" s="647">
        <v>42748</v>
      </c>
      <c r="C339" s="376">
        <v>6000</v>
      </c>
      <c r="D339" s="648">
        <v>14.527687999999999</v>
      </c>
      <c r="E339" s="377">
        <v>17.46</v>
      </c>
      <c r="F339" s="464">
        <f t="shared" si="104"/>
        <v>17593.872000000007</v>
      </c>
      <c r="G339" s="377">
        <f t="shared" si="105"/>
        <v>87166.127999999997</v>
      </c>
      <c r="H339" s="379">
        <f t="shared" si="106"/>
        <v>0.20184299112150547</v>
      </c>
      <c r="I339" s="377"/>
    </row>
    <row r="340" spans="1:9" x14ac:dyDescent="0.25">
      <c r="A340" s="232" t="s">
        <v>347</v>
      </c>
      <c r="B340" s="647">
        <v>42754</v>
      </c>
      <c r="C340" s="376">
        <v>6000</v>
      </c>
      <c r="D340" s="648">
        <v>14.527687999999999</v>
      </c>
      <c r="E340" s="377">
        <v>17.27</v>
      </c>
      <c r="F340" s="464">
        <f t="shared" si="104"/>
        <v>16453.871999999999</v>
      </c>
      <c r="G340" s="377">
        <f t="shared" si="105"/>
        <v>87166.127999999997</v>
      </c>
      <c r="H340" s="379">
        <f t="shared" si="106"/>
        <v>0.1887645164185795</v>
      </c>
      <c r="I340" s="377"/>
    </row>
    <row r="341" spans="1:9" x14ac:dyDescent="0.25">
      <c r="A341" t="s">
        <v>347</v>
      </c>
      <c r="B341" s="647">
        <v>42760</v>
      </c>
      <c r="C341" s="376">
        <v>6000</v>
      </c>
      <c r="D341" s="648">
        <v>14.527687999999999</v>
      </c>
      <c r="E341" s="377">
        <v>17.75</v>
      </c>
      <c r="F341" s="464">
        <f t="shared" ref="F341:F355" si="107">C341*(E341-D341)</f>
        <v>19333.872000000003</v>
      </c>
      <c r="G341" s="377">
        <f t="shared" ref="G341:G355" si="108">IF(C341=0, 0,D341*C341)</f>
        <v>87166.127999999997</v>
      </c>
      <c r="H341" s="379">
        <f t="shared" ref="H341:H355" si="109">IF(C341=0, D341, (E341-D341)/D341)</f>
        <v>0.22180487356281334</v>
      </c>
      <c r="I341" s="377"/>
    </row>
    <row r="342" spans="1:9" x14ac:dyDescent="0.25">
      <c r="A342" t="s">
        <v>381</v>
      </c>
      <c r="B342" s="647">
        <v>42761</v>
      </c>
      <c r="C342" s="376">
        <v>6000</v>
      </c>
      <c r="D342" s="648">
        <v>14.50817</v>
      </c>
      <c r="E342" s="377">
        <v>17.75</v>
      </c>
      <c r="F342" s="464">
        <f t="shared" si="107"/>
        <v>19450.98</v>
      </c>
      <c r="G342" s="377">
        <f t="shared" si="108"/>
        <v>87049.02</v>
      </c>
      <c r="H342" s="379">
        <f t="shared" si="109"/>
        <v>0.22344858104088938</v>
      </c>
      <c r="I342" s="377"/>
    </row>
    <row r="343" spans="1:9" x14ac:dyDescent="0.25">
      <c r="A343" t="s">
        <v>384</v>
      </c>
      <c r="B343" s="647">
        <v>42762</v>
      </c>
      <c r="C343" s="376">
        <v>6100</v>
      </c>
      <c r="D343" s="648">
        <v>14.553610000000001</v>
      </c>
      <c r="E343" s="377">
        <v>17.41</v>
      </c>
      <c r="F343" s="464">
        <f t="shared" si="107"/>
        <v>17423.978999999996</v>
      </c>
      <c r="G343" s="377">
        <f t="shared" si="108"/>
        <v>88777.021000000008</v>
      </c>
      <c r="H343" s="379">
        <f t="shared" si="109"/>
        <v>0.19626676817641803</v>
      </c>
      <c r="I343" s="377"/>
    </row>
    <row r="344" spans="1:9" x14ac:dyDescent="0.25">
      <c r="A344" t="s">
        <v>395</v>
      </c>
      <c r="B344" s="647">
        <v>42765</v>
      </c>
      <c r="C344" s="376">
        <v>6900</v>
      </c>
      <c r="D344" s="648">
        <v>14.793915999999999</v>
      </c>
      <c r="E344" s="377">
        <v>16.53</v>
      </c>
      <c r="F344" s="464">
        <f t="shared" si="107"/>
        <v>11978.979600000011</v>
      </c>
      <c r="G344" s="377">
        <f t="shared" si="108"/>
        <v>102078.02039999999</v>
      </c>
      <c r="H344" s="379">
        <f t="shared" si="109"/>
        <v>0.11735121383682331</v>
      </c>
      <c r="I344" s="377"/>
    </row>
    <row r="345" spans="1:9" x14ac:dyDescent="0.25">
      <c r="A345" t="s">
        <v>396</v>
      </c>
      <c r="B345" s="647">
        <v>42766</v>
      </c>
      <c r="C345" s="376">
        <v>6900</v>
      </c>
      <c r="D345" s="648">
        <v>14.783497000000001</v>
      </c>
      <c r="E345" s="377">
        <v>16.75</v>
      </c>
      <c r="F345" s="464">
        <f t="shared" si="107"/>
        <v>13568.870699999996</v>
      </c>
      <c r="G345" s="377">
        <f t="shared" si="108"/>
        <v>102006.1293</v>
      </c>
      <c r="H345" s="379">
        <f t="shared" si="109"/>
        <v>0.13302015078029233</v>
      </c>
      <c r="I345" s="377"/>
    </row>
    <row r="346" spans="1:9" x14ac:dyDescent="0.25">
      <c r="B346" s="647">
        <v>42767</v>
      </c>
      <c r="C346" s="376">
        <v>6000</v>
      </c>
      <c r="D346" s="648">
        <v>14.442175000000001</v>
      </c>
      <c r="E346" s="377">
        <v>16.59</v>
      </c>
      <c r="F346" s="464">
        <f t="shared" si="107"/>
        <v>12886.949999999995</v>
      </c>
      <c r="G346" s="377">
        <f t="shared" si="108"/>
        <v>86653.05</v>
      </c>
      <c r="H346" s="379">
        <f t="shared" si="109"/>
        <v>0.14871894295699914</v>
      </c>
      <c r="I346" s="377"/>
    </row>
    <row r="347" spans="1:9" x14ac:dyDescent="0.25">
      <c r="B347" s="647">
        <v>42767</v>
      </c>
      <c r="C347" s="376">
        <v>7000</v>
      </c>
      <c r="D347" s="648">
        <v>14.725436</v>
      </c>
      <c r="E347" s="377">
        <v>16.59</v>
      </c>
      <c r="F347" s="464">
        <f t="shared" si="107"/>
        <v>13051.947999999999</v>
      </c>
      <c r="G347" s="377">
        <f t="shared" si="108"/>
        <v>103078.052</v>
      </c>
      <c r="H347" s="379">
        <f t="shared" si="109"/>
        <v>0.1266219893251378</v>
      </c>
      <c r="I347" s="377"/>
    </row>
    <row r="348" spans="1:9" x14ac:dyDescent="0.25">
      <c r="B348" s="647">
        <v>42767</v>
      </c>
      <c r="C348" s="376">
        <v>7200</v>
      </c>
      <c r="D348" s="648">
        <v>14.771951</v>
      </c>
      <c r="E348" s="377">
        <v>16.59</v>
      </c>
      <c r="F348" s="464">
        <f t="shared" si="107"/>
        <v>13089.952800000001</v>
      </c>
      <c r="G348" s="377">
        <f t="shared" si="108"/>
        <v>106358.0472</v>
      </c>
      <c r="H348" s="379">
        <f t="shared" si="109"/>
        <v>0.12307439958337259</v>
      </c>
      <c r="I348" s="377"/>
    </row>
    <row r="349" spans="1:9" x14ac:dyDescent="0.25">
      <c r="A349" t="s">
        <v>400</v>
      </c>
      <c r="B349" s="647">
        <v>42767</v>
      </c>
      <c r="C349" s="376">
        <v>6500</v>
      </c>
      <c r="D349" s="648">
        <v>14.578353999999999</v>
      </c>
      <c r="E349" s="377">
        <v>16.59</v>
      </c>
      <c r="F349" s="464">
        <f t="shared" si="107"/>
        <v>13075.699000000004</v>
      </c>
      <c r="G349" s="377">
        <f t="shared" si="108"/>
        <v>94759.300999999992</v>
      </c>
      <c r="H349" s="379">
        <f t="shared" si="109"/>
        <v>0.13798855481215511</v>
      </c>
      <c r="I349" s="377"/>
    </row>
    <row r="350" spans="1:9" ht="15" customHeight="1" x14ac:dyDescent="0.25">
      <c r="A350" t="s">
        <v>403</v>
      </c>
      <c r="B350" s="647">
        <v>42768</v>
      </c>
      <c r="C350" s="376">
        <v>6000</v>
      </c>
      <c r="D350" s="648">
        <v>14.368788</v>
      </c>
      <c r="E350" s="377">
        <v>16.68</v>
      </c>
      <c r="F350" s="464">
        <f t="shared" si="107"/>
        <v>13867.271999999995</v>
      </c>
      <c r="G350" s="377">
        <f>IF(C350=0, 0,D350*C350)</f>
        <v>86212.728000000003</v>
      </c>
      <c r="H350" s="379">
        <f t="shared" si="109"/>
        <v>0.16084947456946261</v>
      </c>
      <c r="I350" s="377"/>
    </row>
    <row r="351" spans="1:9" x14ac:dyDescent="0.25">
      <c r="A351" t="s">
        <v>411</v>
      </c>
      <c r="B351" s="647">
        <v>42769</v>
      </c>
      <c r="C351" s="376">
        <v>5300</v>
      </c>
      <c r="D351" s="648">
        <v>14.006677</v>
      </c>
      <c r="E351" s="377">
        <v>17.23</v>
      </c>
      <c r="F351" s="464">
        <f t="shared" si="107"/>
        <v>17083.611900000004</v>
      </c>
      <c r="G351" s="377">
        <f t="shared" si="108"/>
        <v>74235.388099999996</v>
      </c>
      <c r="H351" s="379">
        <f t="shared" si="109"/>
        <v>0.2301276027140485</v>
      </c>
      <c r="I351" s="377"/>
    </row>
    <row r="352" spans="1:9" x14ac:dyDescent="0.25">
      <c r="A352" t="s">
        <v>422</v>
      </c>
      <c r="B352" s="647">
        <v>42772</v>
      </c>
      <c r="C352" s="376">
        <v>6000</v>
      </c>
      <c r="D352" s="648">
        <v>14.311230999999999</v>
      </c>
      <c r="E352" s="377">
        <v>16.52</v>
      </c>
      <c r="F352" s="464">
        <f t="shared" si="107"/>
        <v>13252.614000000001</v>
      </c>
      <c r="G352" s="377">
        <f t="shared" si="108"/>
        <v>85867.385999999999</v>
      </c>
      <c r="H352" s="379">
        <f t="shared" si="109"/>
        <v>0.15433815581622576</v>
      </c>
      <c r="I352" s="377"/>
    </row>
    <row r="353" spans="1:13" x14ac:dyDescent="0.25">
      <c r="A353" t="s">
        <v>427</v>
      </c>
      <c r="B353" s="647">
        <v>42773</v>
      </c>
      <c r="C353" s="376">
        <v>6600</v>
      </c>
      <c r="D353" s="648">
        <v>14.461574000000001</v>
      </c>
      <c r="E353" s="377">
        <v>16.03</v>
      </c>
      <c r="F353" s="464">
        <f t="shared" si="107"/>
        <v>10351.611600000004</v>
      </c>
      <c r="G353" s="377">
        <f t="shared" si="108"/>
        <v>95446.388400000011</v>
      </c>
      <c r="H353" s="379">
        <f t="shared" si="109"/>
        <v>0.10845472283998965</v>
      </c>
      <c r="I353" s="377"/>
    </row>
    <row r="354" spans="1:13" x14ac:dyDescent="0.25">
      <c r="A354" t="s">
        <v>451</v>
      </c>
      <c r="B354" s="647">
        <v>42781</v>
      </c>
      <c r="C354" s="376">
        <v>5700</v>
      </c>
      <c r="D354" s="648">
        <v>14.140828000000001</v>
      </c>
      <c r="E354" s="377">
        <v>16.3</v>
      </c>
      <c r="F354" s="464">
        <f t="shared" si="107"/>
        <v>12307.2804</v>
      </c>
      <c r="G354" s="377">
        <f t="shared" si="108"/>
        <v>80602.719600000011</v>
      </c>
      <c r="H354" s="379">
        <f t="shared" si="109"/>
        <v>0.1526906345229572</v>
      </c>
      <c r="I354" s="377"/>
    </row>
    <row r="355" spans="1:13" x14ac:dyDescent="0.25">
      <c r="A355" t="s">
        <v>453</v>
      </c>
      <c r="B355" s="647">
        <v>42782</v>
      </c>
      <c r="C355" s="376">
        <v>5700</v>
      </c>
      <c r="D355" s="648">
        <v>14.103</v>
      </c>
      <c r="E355" s="377">
        <v>16.170000000000002</v>
      </c>
      <c r="F355" s="464">
        <f t="shared" si="107"/>
        <v>11781.900000000011</v>
      </c>
      <c r="G355" s="377">
        <f t="shared" si="108"/>
        <v>80387.100000000006</v>
      </c>
      <c r="H355" s="379">
        <f t="shared" si="109"/>
        <v>0.14656456073175933</v>
      </c>
      <c r="I355" s="377"/>
    </row>
    <row r="356" spans="1:13" x14ac:dyDescent="0.25">
      <c r="B356" s="647"/>
      <c r="C356" s="376"/>
      <c r="D356" s="648"/>
      <c r="E356" s="377"/>
      <c r="F356" s="464"/>
      <c r="G356" s="377"/>
      <c r="H356" s="379"/>
      <c r="I356" s="377"/>
    </row>
    <row r="357" spans="1:13" x14ac:dyDescent="0.25">
      <c r="B357" s="647"/>
      <c r="C357" s="376"/>
      <c r="D357" s="648"/>
      <c r="E357" s="377"/>
      <c r="F357" s="464"/>
      <c r="G357" s="377"/>
      <c r="H357" s="379"/>
      <c r="I357" s="377"/>
    </row>
    <row r="358" spans="1:13" x14ac:dyDescent="0.25">
      <c r="B358" s="647"/>
      <c r="C358" s="376"/>
      <c r="D358" s="648"/>
      <c r="E358" s="377"/>
      <c r="F358" s="464"/>
      <c r="G358" s="377"/>
      <c r="H358" s="379"/>
      <c r="I358" s="377"/>
    </row>
    <row r="359" spans="1:13" x14ac:dyDescent="0.25">
      <c r="B359" s="647"/>
      <c r="C359" s="376"/>
      <c r="D359" s="648"/>
      <c r="E359" s="377"/>
      <c r="F359" s="464"/>
      <c r="G359" s="377"/>
      <c r="H359" s="379"/>
      <c r="I359" s="377"/>
    </row>
    <row r="363" spans="1:13" x14ac:dyDescent="0.25">
      <c r="L363" t="s">
        <v>65</v>
      </c>
      <c r="M363" s="233">
        <f>K626+M626-F626</f>
        <v>14615.571000001626</v>
      </c>
    </row>
    <row r="364" spans="1:13" x14ac:dyDescent="0.25">
      <c r="A364" s="536" t="s">
        <v>1</v>
      </c>
      <c r="B364" s="614" t="s">
        <v>2</v>
      </c>
      <c r="C364" s="536" t="s">
        <v>4</v>
      </c>
      <c r="D364" s="615" t="s">
        <v>5</v>
      </c>
      <c r="E364" s="537" t="s">
        <v>90</v>
      </c>
      <c r="F364" s="537" t="s">
        <v>60</v>
      </c>
      <c r="G364" s="536" t="s">
        <v>3</v>
      </c>
      <c r="H364" s="616" t="s">
        <v>6</v>
      </c>
      <c r="I364" s="615" t="s">
        <v>7</v>
      </c>
      <c r="J364" s="537" t="s">
        <v>89</v>
      </c>
      <c r="K364" s="537" t="s">
        <v>61</v>
      </c>
      <c r="L364" s="536" t="s">
        <v>37</v>
      </c>
      <c r="M364" s="537" t="s">
        <v>38</v>
      </c>
    </row>
    <row r="365" spans="1:13" x14ac:dyDescent="0.25">
      <c r="A365" s="538" t="s">
        <v>50</v>
      </c>
      <c r="B365" s="572">
        <v>42187</v>
      </c>
      <c r="C365" s="521">
        <v>1000</v>
      </c>
      <c r="D365" s="522">
        <v>27.25</v>
      </c>
      <c r="E365" s="523">
        <v>0</v>
      </c>
      <c r="F365" s="523">
        <f>C365*D365+E365</f>
        <v>27250</v>
      </c>
      <c r="G365" s="520">
        <v>42187</v>
      </c>
      <c r="H365" s="539">
        <v>2000</v>
      </c>
      <c r="I365" s="522">
        <v>27.34</v>
      </c>
      <c r="J365" s="523">
        <v>-5.49</v>
      </c>
      <c r="K365" s="523">
        <f>H365*I365-J365</f>
        <v>54685.49</v>
      </c>
      <c r="L365" s="520">
        <v>42257</v>
      </c>
      <c r="M365" s="523">
        <v>850.5</v>
      </c>
    </row>
    <row r="366" spans="1:13" x14ac:dyDescent="0.25">
      <c r="A366" s="540" t="s">
        <v>71</v>
      </c>
      <c r="B366" s="572">
        <v>42187</v>
      </c>
      <c r="C366" s="521">
        <v>80</v>
      </c>
      <c r="D366" s="522">
        <v>27.152249999999999</v>
      </c>
      <c r="E366" s="523">
        <v>0</v>
      </c>
      <c r="F366" s="523">
        <f t="shared" ref="F366:F429" si="110">C366*D366+E366</f>
        <v>2172.1799999999998</v>
      </c>
      <c r="G366" s="520">
        <v>42199</v>
      </c>
      <c r="H366" s="539">
        <v>102</v>
      </c>
      <c r="I366" s="522">
        <v>25.28</v>
      </c>
      <c r="J366" s="523">
        <v>0.05</v>
      </c>
      <c r="K366" s="523">
        <f t="shared" ref="K366:K393" si="111">H366*I366-J366</f>
        <v>2578.5099999999998</v>
      </c>
      <c r="L366" s="520">
        <v>42439</v>
      </c>
      <c r="M366" s="523">
        <v>483.9</v>
      </c>
    </row>
    <row r="367" spans="1:13" x14ac:dyDescent="0.25">
      <c r="A367" s="521"/>
      <c r="B367" s="572">
        <v>42187</v>
      </c>
      <c r="C367" s="521">
        <v>1000</v>
      </c>
      <c r="D367" s="522">
        <v>27.1</v>
      </c>
      <c r="E367" s="523">
        <v>0</v>
      </c>
      <c r="F367" s="523">
        <f t="shared" si="110"/>
        <v>27100</v>
      </c>
      <c r="G367" s="520">
        <v>42227</v>
      </c>
      <c r="H367" s="539">
        <v>200</v>
      </c>
      <c r="I367" s="522">
        <v>19.649999999999999</v>
      </c>
      <c r="J367" s="523">
        <v>7.0000000000000007E-2</v>
      </c>
      <c r="K367" s="523">
        <f t="shared" si="111"/>
        <v>3929.9299999999994</v>
      </c>
      <c r="L367" s="520">
        <v>42531</v>
      </c>
      <c r="M367" s="523">
        <v>483.9</v>
      </c>
    </row>
    <row r="368" spans="1:13" x14ac:dyDescent="0.25">
      <c r="A368" s="521"/>
      <c r="B368" s="635">
        <v>42187</v>
      </c>
      <c r="C368" s="521">
        <v>500</v>
      </c>
      <c r="D368" s="522">
        <v>27.039332999999999</v>
      </c>
      <c r="E368" s="523">
        <v>0</v>
      </c>
      <c r="F368" s="523">
        <f t="shared" si="110"/>
        <v>13519.666499999999</v>
      </c>
      <c r="G368" s="520">
        <v>42227</v>
      </c>
      <c r="H368" s="539">
        <v>200</v>
      </c>
      <c r="I368" s="522">
        <v>18.7</v>
      </c>
      <c r="J368" s="523">
        <v>7.0000000000000007E-2</v>
      </c>
      <c r="K368" s="523">
        <f t="shared" si="111"/>
        <v>3739.93</v>
      </c>
      <c r="L368" s="520">
        <v>42625</v>
      </c>
      <c r="M368" s="523">
        <v>433.9</v>
      </c>
    </row>
    <row r="369" spans="1:13" x14ac:dyDescent="0.25">
      <c r="A369" s="521"/>
      <c r="B369" s="635"/>
      <c r="C369" s="521">
        <v>500</v>
      </c>
      <c r="D369" s="522">
        <v>27.039332999999999</v>
      </c>
      <c r="E369" s="523">
        <v>0</v>
      </c>
      <c r="F369" s="523">
        <f t="shared" si="110"/>
        <v>13519.666499999999</v>
      </c>
      <c r="G369" s="520">
        <v>42257</v>
      </c>
      <c r="H369" s="539">
        <v>1600</v>
      </c>
      <c r="I369" s="522">
        <v>16.445</v>
      </c>
      <c r="J369" s="523">
        <v>0.48</v>
      </c>
      <c r="K369" s="523">
        <f t="shared" si="111"/>
        <v>26311.52</v>
      </c>
      <c r="L369" s="520">
        <v>42716</v>
      </c>
      <c r="M369" s="523">
        <v>500</v>
      </c>
    </row>
    <row r="370" spans="1:13" x14ac:dyDescent="0.25">
      <c r="A370" s="521"/>
      <c r="B370" s="635"/>
      <c r="C370" s="521">
        <v>500</v>
      </c>
      <c r="D370" s="522">
        <v>27.039332999999999</v>
      </c>
      <c r="E370" s="523">
        <v>0</v>
      </c>
      <c r="F370" s="523">
        <f t="shared" si="110"/>
        <v>13519.666499999999</v>
      </c>
      <c r="G370" s="636">
        <v>42265</v>
      </c>
      <c r="H370" s="539">
        <v>200</v>
      </c>
      <c r="I370" s="522">
        <v>15.65</v>
      </c>
      <c r="J370" s="523">
        <v>0.05</v>
      </c>
      <c r="K370" s="523">
        <f t="shared" si="111"/>
        <v>3129.95</v>
      </c>
      <c r="L370" s="521"/>
      <c r="M370" s="523"/>
    </row>
    <row r="371" spans="1:13" ht="15" customHeight="1" x14ac:dyDescent="0.25">
      <c r="A371" s="521"/>
      <c r="B371" s="635"/>
      <c r="C371" s="521">
        <v>500</v>
      </c>
      <c r="D371" s="522">
        <v>27.039332999999999</v>
      </c>
      <c r="E371" s="523">
        <v>0</v>
      </c>
      <c r="F371" s="523">
        <f t="shared" si="110"/>
        <v>13519.666499999999</v>
      </c>
      <c r="G371" s="636"/>
      <c r="H371" s="539">
        <v>2400</v>
      </c>
      <c r="I371" s="522">
        <v>15.7</v>
      </c>
      <c r="J371" s="523">
        <v>0.7</v>
      </c>
      <c r="K371" s="523">
        <f t="shared" si="111"/>
        <v>37679.300000000003</v>
      </c>
      <c r="L371" s="521"/>
      <c r="M371" s="523"/>
    </row>
    <row r="372" spans="1:13" x14ac:dyDescent="0.25">
      <c r="A372" s="521"/>
      <c r="B372" s="635"/>
      <c r="C372" s="521">
        <v>1000</v>
      </c>
      <c r="D372" s="522">
        <v>27.039332999999999</v>
      </c>
      <c r="E372" s="523">
        <v>0</v>
      </c>
      <c r="F372" s="523">
        <f t="shared" si="110"/>
        <v>27039.332999999999</v>
      </c>
      <c r="G372" s="520">
        <v>42271</v>
      </c>
      <c r="H372" s="617">
        <v>918</v>
      </c>
      <c r="I372" s="618">
        <v>16.45</v>
      </c>
      <c r="J372" s="619">
        <v>0.28000000000000003</v>
      </c>
      <c r="K372" s="619">
        <f t="shared" si="111"/>
        <v>15100.819999999998</v>
      </c>
      <c r="L372" s="521"/>
      <c r="M372" s="523"/>
    </row>
    <row r="373" spans="1:13" ht="60" x14ac:dyDescent="0.25">
      <c r="A373" s="521"/>
      <c r="B373" s="572">
        <v>42198</v>
      </c>
      <c r="C373" s="521">
        <v>100</v>
      </c>
      <c r="D373" s="522">
        <v>24.77</v>
      </c>
      <c r="E373" s="523">
        <v>0</v>
      </c>
      <c r="F373" s="523">
        <f t="shared" si="110"/>
        <v>2477</v>
      </c>
      <c r="G373" s="637" t="s">
        <v>139</v>
      </c>
      <c r="H373" s="539">
        <v>500</v>
      </c>
      <c r="I373" s="522">
        <v>15.95</v>
      </c>
      <c r="J373" s="523">
        <v>0.15</v>
      </c>
      <c r="K373" s="619">
        <f t="shared" si="111"/>
        <v>7974.85</v>
      </c>
      <c r="L373" s="521"/>
      <c r="M373" s="523"/>
    </row>
    <row r="374" spans="1:13" x14ac:dyDescent="0.25">
      <c r="A374" s="521"/>
      <c r="B374" s="572">
        <v>42205</v>
      </c>
      <c r="C374" s="521">
        <v>50</v>
      </c>
      <c r="D374" s="522">
        <v>24.35</v>
      </c>
      <c r="E374" s="523">
        <v>0</v>
      </c>
      <c r="F374" s="523">
        <f t="shared" si="110"/>
        <v>1217.5</v>
      </c>
      <c r="G374" s="637"/>
      <c r="H374" s="539">
        <v>500</v>
      </c>
      <c r="I374" s="522">
        <v>16.100000000000001</v>
      </c>
      <c r="J374" s="523">
        <v>0.15</v>
      </c>
      <c r="K374" s="619">
        <f t="shared" si="111"/>
        <v>8049.8500000000013</v>
      </c>
      <c r="L374" s="521"/>
      <c r="M374" s="523"/>
    </row>
    <row r="375" spans="1:13" x14ac:dyDescent="0.25">
      <c r="A375" s="521"/>
      <c r="B375" s="572">
        <v>42207</v>
      </c>
      <c r="C375" s="521">
        <v>20</v>
      </c>
      <c r="D375" s="522">
        <v>24.02</v>
      </c>
      <c r="E375" s="523">
        <v>0</v>
      </c>
      <c r="F375" s="523">
        <f t="shared" si="110"/>
        <v>480.4</v>
      </c>
      <c r="G375" s="637"/>
      <c r="H375" s="539">
        <v>500</v>
      </c>
      <c r="I375" s="522">
        <v>16.170000000000002</v>
      </c>
      <c r="J375" s="523">
        <v>0.15</v>
      </c>
      <c r="K375" s="619">
        <f t="shared" si="111"/>
        <v>8084.8500000000013</v>
      </c>
      <c r="L375" s="521"/>
      <c r="M375" s="523"/>
    </row>
    <row r="376" spans="1:13" x14ac:dyDescent="0.25">
      <c r="A376" s="521"/>
      <c r="B376" s="572">
        <v>42207</v>
      </c>
      <c r="C376" s="521">
        <v>20</v>
      </c>
      <c r="D376" s="522">
        <v>23.91</v>
      </c>
      <c r="E376" s="523">
        <v>0</v>
      </c>
      <c r="F376" s="523">
        <f t="shared" si="110"/>
        <v>478.2</v>
      </c>
      <c r="G376" s="637"/>
      <c r="H376" s="539">
        <v>500</v>
      </c>
      <c r="I376" s="522">
        <v>16.28</v>
      </c>
      <c r="J376" s="523">
        <v>0.15</v>
      </c>
      <c r="K376" s="619">
        <f t="shared" si="111"/>
        <v>8139.8500000000013</v>
      </c>
      <c r="L376" s="523"/>
      <c r="M376" s="523"/>
    </row>
    <row r="377" spans="1:13" x14ac:dyDescent="0.25">
      <c r="A377" s="521"/>
      <c r="B377" s="572">
        <v>42207</v>
      </c>
      <c r="C377" s="521">
        <v>20</v>
      </c>
      <c r="D377" s="522">
        <v>23.7</v>
      </c>
      <c r="E377" s="523">
        <v>0</v>
      </c>
      <c r="F377" s="523">
        <f t="shared" si="110"/>
        <v>474</v>
      </c>
      <c r="G377" s="637"/>
      <c r="H377" s="539">
        <v>500</v>
      </c>
      <c r="I377" s="522">
        <v>16.39</v>
      </c>
      <c r="J377" s="523">
        <v>0.15</v>
      </c>
      <c r="K377" s="619">
        <f t="shared" si="111"/>
        <v>8194.85</v>
      </c>
      <c r="L377" s="521"/>
      <c r="M377" s="523"/>
    </row>
    <row r="378" spans="1:13" x14ac:dyDescent="0.25">
      <c r="A378" s="521"/>
      <c r="B378" s="572">
        <v>42207</v>
      </c>
      <c r="C378" s="521">
        <v>20</v>
      </c>
      <c r="D378" s="522">
        <v>23.6</v>
      </c>
      <c r="E378" s="523">
        <v>0</v>
      </c>
      <c r="F378" s="523">
        <f t="shared" si="110"/>
        <v>472</v>
      </c>
      <c r="G378" s="637"/>
      <c r="H378" s="539">
        <v>500</v>
      </c>
      <c r="I378" s="522">
        <v>16.55</v>
      </c>
      <c r="J378" s="523">
        <v>0.17</v>
      </c>
      <c r="K378" s="619">
        <f t="shared" si="111"/>
        <v>8274.83</v>
      </c>
      <c r="L378" s="521"/>
      <c r="M378" s="523"/>
    </row>
    <row r="379" spans="1:13" x14ac:dyDescent="0.25">
      <c r="A379" s="521"/>
      <c r="B379" s="572">
        <v>42209</v>
      </c>
      <c r="C379" s="521">
        <v>40</v>
      </c>
      <c r="D379" s="522">
        <v>22.3</v>
      </c>
      <c r="E379" s="523">
        <v>0</v>
      </c>
      <c r="F379" s="523">
        <f t="shared" si="110"/>
        <v>892</v>
      </c>
      <c r="G379" s="637"/>
      <c r="H379" s="539">
        <v>50</v>
      </c>
      <c r="I379" s="522">
        <v>16.55</v>
      </c>
      <c r="J379" s="523">
        <v>0</v>
      </c>
      <c r="K379" s="619">
        <f t="shared" si="111"/>
        <v>827.5</v>
      </c>
      <c r="L379" s="521"/>
      <c r="M379" s="523"/>
    </row>
    <row r="380" spans="1:13" x14ac:dyDescent="0.25">
      <c r="A380" s="523"/>
      <c r="B380" s="572">
        <v>42221</v>
      </c>
      <c r="C380" s="521">
        <v>12</v>
      </c>
      <c r="D380" s="522">
        <v>20.95</v>
      </c>
      <c r="E380" s="523">
        <v>0</v>
      </c>
      <c r="F380" s="523">
        <f t="shared" si="110"/>
        <v>251.39999999999998</v>
      </c>
      <c r="G380" s="637"/>
      <c r="H380" s="539">
        <v>28</v>
      </c>
      <c r="I380" s="522">
        <v>16.68</v>
      </c>
      <c r="J380" s="523">
        <v>0.01</v>
      </c>
      <c r="K380" s="619">
        <f t="shared" si="111"/>
        <v>467.03</v>
      </c>
      <c r="L380" s="539"/>
      <c r="M380" s="523"/>
    </row>
    <row r="381" spans="1:13" x14ac:dyDescent="0.25">
      <c r="A381" s="521"/>
      <c r="B381" s="572">
        <v>42223</v>
      </c>
      <c r="C381" s="521">
        <v>100</v>
      </c>
      <c r="D381" s="522">
        <v>20.399999999999999</v>
      </c>
      <c r="E381" s="523">
        <v>0</v>
      </c>
      <c r="F381" s="523">
        <f t="shared" si="110"/>
        <v>2039.9999999999998</v>
      </c>
      <c r="G381" s="520">
        <v>42285</v>
      </c>
      <c r="H381" s="539">
        <v>632</v>
      </c>
      <c r="I381" s="522">
        <v>17.850000000000001</v>
      </c>
      <c r="J381" s="523">
        <v>0.21</v>
      </c>
      <c r="K381" s="619">
        <f t="shared" si="111"/>
        <v>11280.990000000002</v>
      </c>
      <c r="L381" s="523"/>
      <c r="M381" s="523"/>
    </row>
    <row r="382" spans="1:13" x14ac:dyDescent="0.25">
      <c r="A382" s="523"/>
      <c r="B382" s="572">
        <v>42226</v>
      </c>
      <c r="C382" s="521">
        <v>200</v>
      </c>
      <c r="D382" s="522">
        <v>19.95</v>
      </c>
      <c r="E382" s="523">
        <v>0</v>
      </c>
      <c r="F382" s="523">
        <f t="shared" si="110"/>
        <v>3990</v>
      </c>
      <c r="G382" s="520">
        <v>42297</v>
      </c>
      <c r="H382" s="539">
        <v>500</v>
      </c>
      <c r="I382" s="522">
        <v>19.149999999999999</v>
      </c>
      <c r="J382" s="523">
        <v>0.18</v>
      </c>
      <c r="K382" s="619">
        <f t="shared" si="111"/>
        <v>9574.82</v>
      </c>
      <c r="L382" s="521"/>
      <c r="M382" s="523"/>
    </row>
    <row r="383" spans="1:13" x14ac:dyDescent="0.25">
      <c r="A383" s="521"/>
      <c r="B383" s="572">
        <v>42226</v>
      </c>
      <c r="C383" s="521">
        <v>50</v>
      </c>
      <c r="D383" s="522">
        <v>20.010000000000002</v>
      </c>
      <c r="E383" s="523">
        <v>0</v>
      </c>
      <c r="F383" s="523">
        <f t="shared" si="110"/>
        <v>1000.5000000000001</v>
      </c>
      <c r="G383" s="520">
        <v>42300</v>
      </c>
      <c r="H383" s="539">
        <v>1000</v>
      </c>
      <c r="I383" s="522">
        <v>18.62</v>
      </c>
      <c r="J383" s="523">
        <v>0.34</v>
      </c>
      <c r="K383" s="619">
        <f t="shared" si="111"/>
        <v>18619.66</v>
      </c>
      <c r="L383" s="521"/>
      <c r="M383" s="523"/>
    </row>
    <row r="384" spans="1:13" x14ac:dyDescent="0.25">
      <c r="A384" s="521"/>
      <c r="B384" s="572">
        <v>42226</v>
      </c>
      <c r="C384" s="521">
        <v>100</v>
      </c>
      <c r="D384" s="522">
        <v>20.2</v>
      </c>
      <c r="E384" s="523">
        <v>0</v>
      </c>
      <c r="F384" s="523">
        <f t="shared" si="110"/>
        <v>2020</v>
      </c>
      <c r="G384" s="520">
        <v>42312</v>
      </c>
      <c r="H384" s="539">
        <v>2500</v>
      </c>
      <c r="I384" s="522">
        <v>18.48</v>
      </c>
      <c r="J384" s="523">
        <v>7.8</v>
      </c>
      <c r="K384" s="523">
        <f t="shared" si="111"/>
        <v>46192.2</v>
      </c>
      <c r="L384" s="521"/>
      <c r="M384" s="523"/>
    </row>
    <row r="385" spans="1:13" x14ac:dyDescent="0.25">
      <c r="A385" s="521"/>
      <c r="B385" s="572">
        <v>42227</v>
      </c>
      <c r="C385" s="521">
        <v>200</v>
      </c>
      <c r="D385" s="522">
        <v>18.399999999999999</v>
      </c>
      <c r="E385" s="523">
        <v>0</v>
      </c>
      <c r="F385" s="523">
        <f t="shared" si="110"/>
        <v>3679.9999999999995</v>
      </c>
      <c r="G385" s="520">
        <v>42313</v>
      </c>
      <c r="H385" s="539">
        <v>3000</v>
      </c>
      <c r="I385" s="522">
        <v>19.059999999999999</v>
      </c>
      <c r="J385" s="523">
        <v>1.05</v>
      </c>
      <c r="K385" s="523">
        <f t="shared" si="111"/>
        <v>57178.94999999999</v>
      </c>
      <c r="L385" s="521"/>
      <c r="M385" s="523"/>
    </row>
    <row r="386" spans="1:13" x14ac:dyDescent="0.25">
      <c r="A386" s="521"/>
      <c r="B386" s="572">
        <v>42227</v>
      </c>
      <c r="C386" s="521">
        <v>200</v>
      </c>
      <c r="D386" s="522">
        <v>19.55</v>
      </c>
      <c r="E386" s="523">
        <v>0</v>
      </c>
      <c r="F386" s="523">
        <f t="shared" si="110"/>
        <v>3910</v>
      </c>
      <c r="G386" s="520">
        <v>42324</v>
      </c>
      <c r="H386" s="539">
        <v>2500</v>
      </c>
      <c r="I386" s="522">
        <v>18.8</v>
      </c>
      <c r="J386" s="523">
        <v>0.86</v>
      </c>
      <c r="K386" s="523">
        <f t="shared" si="111"/>
        <v>46999.14</v>
      </c>
      <c r="L386" s="523"/>
      <c r="M386" s="523"/>
    </row>
    <row r="387" spans="1:13" x14ac:dyDescent="0.25">
      <c r="A387" s="521"/>
      <c r="B387" s="572">
        <v>42234</v>
      </c>
      <c r="C387" s="521">
        <v>40</v>
      </c>
      <c r="D387" s="522">
        <v>18.149999999999999</v>
      </c>
      <c r="E387" s="523">
        <v>0</v>
      </c>
      <c r="F387" s="523">
        <f t="shared" si="110"/>
        <v>726</v>
      </c>
      <c r="G387" s="520">
        <v>42335</v>
      </c>
      <c r="H387" s="539">
        <v>3078</v>
      </c>
      <c r="I387" s="522">
        <v>17.649999999999999</v>
      </c>
      <c r="J387" s="523">
        <v>1</v>
      </c>
      <c r="K387" s="523">
        <f t="shared" si="111"/>
        <v>54325.7</v>
      </c>
      <c r="L387" s="521"/>
      <c r="M387" s="523"/>
    </row>
    <row r="388" spans="1:13" x14ac:dyDescent="0.25">
      <c r="A388" s="521"/>
      <c r="B388" s="572">
        <v>42234</v>
      </c>
      <c r="C388" s="521">
        <v>100</v>
      </c>
      <c r="D388" s="522">
        <v>18</v>
      </c>
      <c r="E388" s="523">
        <v>0</v>
      </c>
      <c r="F388" s="523">
        <f t="shared" si="110"/>
        <v>1800</v>
      </c>
      <c r="G388" s="520">
        <v>42347</v>
      </c>
      <c r="H388" s="539">
        <v>500</v>
      </c>
      <c r="I388" s="522">
        <v>16.149999999999999</v>
      </c>
      <c r="J388" s="523">
        <v>0.15</v>
      </c>
      <c r="K388" s="523">
        <f t="shared" si="111"/>
        <v>8074.8499999999995</v>
      </c>
      <c r="L388" s="521"/>
      <c r="M388" s="523"/>
    </row>
    <row r="389" spans="1:13" x14ac:dyDescent="0.25">
      <c r="A389" s="521"/>
      <c r="B389" s="572">
        <v>42235</v>
      </c>
      <c r="C389" s="521">
        <v>100</v>
      </c>
      <c r="D389" s="522">
        <v>17.78</v>
      </c>
      <c r="E389" s="523">
        <v>0</v>
      </c>
      <c r="F389" s="523">
        <f t="shared" si="110"/>
        <v>1778</v>
      </c>
      <c r="G389" s="520">
        <v>42353</v>
      </c>
      <c r="H389" s="539">
        <v>600</v>
      </c>
      <c r="I389" s="522">
        <v>14.95</v>
      </c>
      <c r="J389" s="523">
        <v>0.17</v>
      </c>
      <c r="K389" s="523">
        <f t="shared" si="111"/>
        <v>8969.83</v>
      </c>
      <c r="L389" s="521"/>
      <c r="M389" s="523"/>
    </row>
    <row r="390" spans="1:13" x14ac:dyDescent="0.25">
      <c r="A390" s="521"/>
      <c r="B390" s="572">
        <v>42235</v>
      </c>
      <c r="C390" s="521">
        <v>100</v>
      </c>
      <c r="D390" s="522">
        <v>17.68</v>
      </c>
      <c r="E390" s="523">
        <v>0</v>
      </c>
      <c r="F390" s="523">
        <f t="shared" si="110"/>
        <v>1768</v>
      </c>
      <c r="G390" s="520">
        <v>42354</v>
      </c>
      <c r="H390" s="539">
        <v>500</v>
      </c>
      <c r="I390" s="522">
        <v>14.32</v>
      </c>
      <c r="J390" s="523">
        <v>0.13</v>
      </c>
      <c r="K390" s="523">
        <f t="shared" si="111"/>
        <v>7159.87</v>
      </c>
      <c r="L390" s="521"/>
      <c r="M390" s="523"/>
    </row>
    <row r="391" spans="1:13" x14ac:dyDescent="0.25">
      <c r="A391" s="521"/>
      <c r="B391" s="572">
        <v>42240</v>
      </c>
      <c r="C391" s="521">
        <v>100</v>
      </c>
      <c r="D391" s="522">
        <v>16.649999999999999</v>
      </c>
      <c r="E391" s="523">
        <v>0</v>
      </c>
      <c r="F391" s="523">
        <f t="shared" si="110"/>
        <v>1664.9999999999998</v>
      </c>
      <c r="G391" s="520">
        <v>42361</v>
      </c>
      <c r="H391" s="539">
        <v>500</v>
      </c>
      <c r="I391" s="522">
        <v>12.83</v>
      </c>
      <c r="J391" s="523">
        <v>0.12</v>
      </c>
      <c r="K391" s="523">
        <f t="shared" si="111"/>
        <v>6414.88</v>
      </c>
      <c r="L391" s="521"/>
      <c r="M391" s="523"/>
    </row>
    <row r="392" spans="1:13" x14ac:dyDescent="0.25">
      <c r="A392" s="521"/>
      <c r="B392" s="572">
        <v>42240</v>
      </c>
      <c r="C392" s="521">
        <v>100</v>
      </c>
      <c r="D392" s="522">
        <v>16.100000000000001</v>
      </c>
      <c r="E392" s="523">
        <v>0</v>
      </c>
      <c r="F392" s="523">
        <f t="shared" si="110"/>
        <v>1610.0000000000002</v>
      </c>
      <c r="G392" s="520">
        <v>42362</v>
      </c>
      <c r="H392" s="539">
        <v>1222</v>
      </c>
      <c r="I392" s="522">
        <v>12.75</v>
      </c>
      <c r="J392" s="523">
        <v>0.28999999999999998</v>
      </c>
      <c r="K392" s="523">
        <f t="shared" si="111"/>
        <v>15580.21</v>
      </c>
      <c r="L392" s="521"/>
      <c r="M392" s="523"/>
    </row>
    <row r="393" spans="1:13" ht="15" customHeight="1" x14ac:dyDescent="0.25">
      <c r="A393" s="521"/>
      <c r="B393" s="572">
        <v>42257</v>
      </c>
      <c r="C393" s="521">
        <v>1500</v>
      </c>
      <c r="D393" s="522">
        <v>16.350000000000001</v>
      </c>
      <c r="E393" s="523">
        <v>0</v>
      </c>
      <c r="F393" s="523">
        <f t="shared" si="110"/>
        <v>24525.000000000004</v>
      </c>
      <c r="G393" s="520">
        <v>42367</v>
      </c>
      <c r="H393" s="539">
        <v>1000</v>
      </c>
      <c r="I393" s="522">
        <v>13.15</v>
      </c>
      <c r="J393" s="523">
        <v>0.24</v>
      </c>
      <c r="K393" s="523">
        <f t="shared" si="111"/>
        <v>13149.76</v>
      </c>
      <c r="L393" s="521"/>
      <c r="M393" s="523"/>
    </row>
    <row r="394" spans="1:13" x14ac:dyDescent="0.25">
      <c r="A394" s="521"/>
      <c r="B394" s="572">
        <v>42258</v>
      </c>
      <c r="C394" s="521">
        <v>100</v>
      </c>
      <c r="D394" s="522">
        <v>16.100000000000001</v>
      </c>
      <c r="E394" s="523">
        <v>0</v>
      </c>
      <c r="F394" s="523">
        <f t="shared" si="110"/>
        <v>1610.0000000000002</v>
      </c>
      <c r="G394" s="520">
        <v>42367</v>
      </c>
      <c r="H394" s="539">
        <v>2178</v>
      </c>
      <c r="I394" s="522">
        <v>13.75</v>
      </c>
      <c r="J394" s="523">
        <v>0.55000000000000004</v>
      </c>
      <c r="K394" s="523">
        <f>H394*I394-J394</f>
        <v>29946.95</v>
      </c>
      <c r="L394" s="521"/>
      <c r="M394" s="523"/>
    </row>
    <row r="395" spans="1:13" x14ac:dyDescent="0.25">
      <c r="A395" s="521"/>
      <c r="B395" s="572">
        <v>42261</v>
      </c>
      <c r="C395" s="521">
        <v>1000</v>
      </c>
      <c r="D395" s="522">
        <v>15.416</v>
      </c>
      <c r="E395" s="523">
        <v>0</v>
      </c>
      <c r="F395" s="523">
        <f t="shared" si="110"/>
        <v>15416</v>
      </c>
      <c r="G395" s="520">
        <v>42010</v>
      </c>
      <c r="H395" s="539">
        <v>1000</v>
      </c>
      <c r="I395" s="522">
        <v>12.63</v>
      </c>
      <c r="J395" s="523">
        <v>0.23</v>
      </c>
      <c r="K395" s="523">
        <f>H395*I395-J395</f>
        <v>12629.77</v>
      </c>
      <c r="L395" s="521"/>
      <c r="M395" s="523"/>
    </row>
    <row r="396" spans="1:13" x14ac:dyDescent="0.25">
      <c r="A396" s="521"/>
      <c r="B396" s="572">
        <v>42261</v>
      </c>
      <c r="C396" s="521">
        <v>1000</v>
      </c>
      <c r="D396" s="522">
        <v>15.1</v>
      </c>
      <c r="E396" s="523">
        <v>0</v>
      </c>
      <c r="F396" s="523">
        <f t="shared" si="110"/>
        <v>15100</v>
      </c>
      <c r="G396" s="620">
        <v>42374</v>
      </c>
      <c r="H396" s="539">
        <v>2000</v>
      </c>
      <c r="I396" s="522">
        <v>12.81</v>
      </c>
      <c r="J396" s="523">
        <v>0.47</v>
      </c>
      <c r="K396" s="523">
        <f t="shared" ref="K396:K408" si="112">H396*I396-J396</f>
        <v>25619.53</v>
      </c>
      <c r="L396" s="521"/>
      <c r="M396" s="523"/>
    </row>
    <row r="397" spans="1:13" x14ac:dyDescent="0.25">
      <c r="A397" s="521"/>
      <c r="B397" s="572">
        <v>42261</v>
      </c>
      <c r="C397" s="521">
        <v>200</v>
      </c>
      <c r="D397" s="522">
        <v>14.87</v>
      </c>
      <c r="E397" s="523">
        <v>0</v>
      </c>
      <c r="F397" s="523">
        <f t="shared" si="110"/>
        <v>2974</v>
      </c>
      <c r="G397" s="520">
        <v>42374</v>
      </c>
      <c r="H397" s="539">
        <v>1000</v>
      </c>
      <c r="I397" s="522">
        <v>12.82</v>
      </c>
      <c r="J397" s="523">
        <v>0.24</v>
      </c>
      <c r="K397" s="523">
        <f t="shared" si="112"/>
        <v>12819.76</v>
      </c>
      <c r="L397" s="521"/>
      <c r="M397" s="523"/>
    </row>
    <row r="398" spans="1:13" x14ac:dyDescent="0.25">
      <c r="A398" s="521"/>
      <c r="B398" s="572">
        <v>42261</v>
      </c>
      <c r="C398" s="521">
        <v>300</v>
      </c>
      <c r="D398" s="522">
        <v>14.87</v>
      </c>
      <c r="E398" s="523">
        <v>0</v>
      </c>
      <c r="F398" s="523">
        <f t="shared" si="110"/>
        <v>4461</v>
      </c>
      <c r="G398" s="520">
        <v>42398</v>
      </c>
      <c r="H398" s="539">
        <v>400</v>
      </c>
      <c r="I398" s="522">
        <v>9.5500000000000007</v>
      </c>
      <c r="J398" s="523">
        <v>7.0000000000000007E-2</v>
      </c>
      <c r="K398" s="523">
        <f t="shared" si="112"/>
        <v>3819.9300000000003</v>
      </c>
      <c r="L398" s="521"/>
      <c r="M398" s="523"/>
    </row>
    <row r="399" spans="1:13" x14ac:dyDescent="0.25">
      <c r="A399" s="521"/>
      <c r="B399" s="572">
        <v>42270</v>
      </c>
      <c r="C399" s="521">
        <v>478</v>
      </c>
      <c r="D399" s="522">
        <v>15.85</v>
      </c>
      <c r="E399" s="523">
        <v>0</v>
      </c>
      <c r="F399" s="523">
        <f t="shared" si="110"/>
        <v>7576.3</v>
      </c>
      <c r="G399" s="520">
        <v>42411</v>
      </c>
      <c r="H399" s="539">
        <v>500</v>
      </c>
      <c r="I399" s="522">
        <v>6.97</v>
      </c>
      <c r="J399" s="523">
        <v>0.08</v>
      </c>
      <c r="K399" s="523">
        <f t="shared" si="112"/>
        <v>3484.92</v>
      </c>
      <c r="L399" s="521"/>
      <c r="M399" s="523"/>
    </row>
    <row r="400" spans="1:13" ht="15" customHeight="1" x14ac:dyDescent="0.25">
      <c r="A400" s="521"/>
      <c r="B400" s="572">
        <v>42292</v>
      </c>
      <c r="C400" s="521">
        <v>500</v>
      </c>
      <c r="D400" s="522">
        <v>18.55</v>
      </c>
      <c r="E400" s="523">
        <v>0</v>
      </c>
      <c r="F400" s="523">
        <f t="shared" si="110"/>
        <v>9275</v>
      </c>
      <c r="G400" s="520">
        <v>42412</v>
      </c>
      <c r="H400" s="539">
        <v>200</v>
      </c>
      <c r="I400" s="522">
        <v>7.45</v>
      </c>
      <c r="J400" s="523">
        <v>0.03</v>
      </c>
      <c r="K400" s="523">
        <f t="shared" si="112"/>
        <v>1489.97</v>
      </c>
      <c r="L400" s="521"/>
      <c r="M400" s="523"/>
    </row>
    <row r="401" spans="1:13" x14ac:dyDescent="0.25">
      <c r="A401" s="521"/>
      <c r="B401" s="572">
        <v>42299</v>
      </c>
      <c r="C401" s="521">
        <v>500</v>
      </c>
      <c r="D401" s="522">
        <v>18.55</v>
      </c>
      <c r="E401" s="523">
        <v>0</v>
      </c>
      <c r="F401" s="523">
        <f t="shared" si="110"/>
        <v>9275</v>
      </c>
      <c r="G401" s="520">
        <v>42416</v>
      </c>
      <c r="H401" s="539">
        <v>500</v>
      </c>
      <c r="I401" s="522">
        <v>7.75</v>
      </c>
      <c r="J401" s="523">
        <v>0.08</v>
      </c>
      <c r="K401" s="523">
        <f t="shared" si="112"/>
        <v>3874.92</v>
      </c>
      <c r="L401" s="521"/>
      <c r="M401" s="523"/>
    </row>
    <row r="402" spans="1:13" x14ac:dyDescent="0.25">
      <c r="A402" s="521"/>
      <c r="B402" s="572">
        <v>42299</v>
      </c>
      <c r="C402" s="521">
        <v>500</v>
      </c>
      <c r="D402" s="522">
        <v>18.28</v>
      </c>
      <c r="E402" s="523">
        <v>0</v>
      </c>
      <c r="F402" s="523">
        <f t="shared" si="110"/>
        <v>9140</v>
      </c>
      <c r="G402" s="520">
        <v>42422</v>
      </c>
      <c r="H402" s="539">
        <v>2500</v>
      </c>
      <c r="I402" s="522">
        <v>7.47</v>
      </c>
      <c r="J402" s="523">
        <v>0.41</v>
      </c>
      <c r="K402" s="523">
        <f t="shared" si="112"/>
        <v>18674.59</v>
      </c>
      <c r="L402" s="521"/>
      <c r="M402" s="523"/>
    </row>
    <row r="403" spans="1:13" x14ac:dyDescent="0.25">
      <c r="A403" s="521"/>
      <c r="B403" s="572">
        <v>42299</v>
      </c>
      <c r="C403" s="521">
        <v>1000</v>
      </c>
      <c r="D403" s="522">
        <v>18.100000000000001</v>
      </c>
      <c r="E403" s="523">
        <v>0</v>
      </c>
      <c r="F403" s="523">
        <f t="shared" si="110"/>
        <v>18100</v>
      </c>
      <c r="G403" s="520">
        <v>42422</v>
      </c>
      <c r="H403" s="539">
        <v>1000</v>
      </c>
      <c r="I403" s="522">
        <v>7.49</v>
      </c>
      <c r="J403" s="523">
        <v>0.16</v>
      </c>
      <c r="K403" s="523">
        <f t="shared" si="112"/>
        <v>7489.84</v>
      </c>
      <c r="L403" s="521"/>
      <c r="M403" s="523"/>
    </row>
    <row r="404" spans="1:13" x14ac:dyDescent="0.25">
      <c r="A404" s="521"/>
      <c r="B404" s="635">
        <v>42306</v>
      </c>
      <c r="C404" s="521">
        <v>660</v>
      </c>
      <c r="D404" s="522">
        <v>17.8</v>
      </c>
      <c r="E404" s="523">
        <v>0</v>
      </c>
      <c r="F404" s="523">
        <f t="shared" si="110"/>
        <v>11748</v>
      </c>
      <c r="G404" s="520">
        <v>42426</v>
      </c>
      <c r="H404" s="539">
        <v>900</v>
      </c>
      <c r="I404" s="522">
        <v>7.7</v>
      </c>
      <c r="J404" s="523">
        <v>0.15</v>
      </c>
      <c r="K404" s="523">
        <f t="shared" si="112"/>
        <v>6929.85</v>
      </c>
      <c r="L404" s="521"/>
      <c r="M404" s="523"/>
    </row>
    <row r="405" spans="1:13" ht="30" x14ac:dyDescent="0.25">
      <c r="A405" s="521"/>
      <c r="B405" s="635"/>
      <c r="C405" s="521">
        <v>340</v>
      </c>
      <c r="D405" s="522">
        <v>17.8</v>
      </c>
      <c r="E405" s="523">
        <v>0</v>
      </c>
      <c r="F405" s="523">
        <f t="shared" si="110"/>
        <v>6052</v>
      </c>
      <c r="G405" s="638" t="s">
        <v>182</v>
      </c>
      <c r="H405" s="539">
        <v>500</v>
      </c>
      <c r="I405" s="522">
        <v>7.73</v>
      </c>
      <c r="J405" s="523">
        <v>0.08</v>
      </c>
      <c r="K405" s="523">
        <f t="shared" si="112"/>
        <v>3864.92</v>
      </c>
      <c r="L405" s="521"/>
      <c r="M405" s="523"/>
    </row>
    <row r="406" spans="1:13" x14ac:dyDescent="0.25">
      <c r="A406" s="521"/>
      <c r="B406" s="572">
        <v>42312</v>
      </c>
      <c r="C406" s="621">
        <v>500</v>
      </c>
      <c r="D406" s="618">
        <v>17.559999999999999</v>
      </c>
      <c r="E406" s="619">
        <v>6.95</v>
      </c>
      <c r="F406" s="619">
        <f t="shared" si="110"/>
        <v>8786.9500000000007</v>
      </c>
      <c r="G406" s="638"/>
      <c r="H406" s="539">
        <v>500</v>
      </c>
      <c r="I406" s="522">
        <v>7.96</v>
      </c>
      <c r="J406" s="523">
        <v>0.09</v>
      </c>
      <c r="K406" s="523">
        <f t="shared" si="112"/>
        <v>3979.91</v>
      </c>
      <c r="L406" s="521"/>
      <c r="M406" s="523"/>
    </row>
    <row r="407" spans="1:13" x14ac:dyDescent="0.25">
      <c r="A407" s="521"/>
      <c r="B407" s="572">
        <v>42313</v>
      </c>
      <c r="C407" s="521">
        <v>3000</v>
      </c>
      <c r="D407" s="522">
        <v>19.05</v>
      </c>
      <c r="E407" s="523">
        <v>0</v>
      </c>
      <c r="F407" s="523">
        <f t="shared" si="110"/>
        <v>57150</v>
      </c>
      <c r="G407" s="638"/>
      <c r="H407" s="539">
        <v>500</v>
      </c>
      <c r="I407" s="522">
        <v>8.0299999999999994</v>
      </c>
      <c r="J407" s="523">
        <v>0.09</v>
      </c>
      <c r="K407" s="523">
        <f t="shared" si="112"/>
        <v>4014.9099999999994</v>
      </c>
      <c r="L407" s="521"/>
      <c r="M407" s="522"/>
    </row>
    <row r="408" spans="1:13" x14ac:dyDescent="0.25">
      <c r="A408" s="521"/>
      <c r="B408" s="572">
        <v>42320</v>
      </c>
      <c r="C408" s="521">
        <v>500</v>
      </c>
      <c r="D408" s="522">
        <v>18.079999999999998</v>
      </c>
      <c r="E408" s="523">
        <v>0</v>
      </c>
      <c r="F408" s="523">
        <f t="shared" si="110"/>
        <v>9040</v>
      </c>
      <c r="G408" s="638"/>
      <c r="H408" s="539">
        <v>1500</v>
      </c>
      <c r="I408" s="522">
        <v>8.1</v>
      </c>
      <c r="J408" s="523">
        <v>0.26</v>
      </c>
      <c r="K408" s="523">
        <f t="shared" si="112"/>
        <v>12149.74</v>
      </c>
      <c r="L408" s="521"/>
      <c r="M408" s="523"/>
    </row>
    <row r="409" spans="1:13" x14ac:dyDescent="0.25">
      <c r="A409" s="521"/>
      <c r="B409" s="572">
        <v>42320</v>
      </c>
      <c r="C409" s="521">
        <v>1000</v>
      </c>
      <c r="D409" s="522">
        <v>18.05</v>
      </c>
      <c r="E409" s="523">
        <v>0</v>
      </c>
      <c r="F409" s="523">
        <f t="shared" si="110"/>
        <v>18050</v>
      </c>
      <c r="G409" s="520">
        <v>42429</v>
      </c>
      <c r="H409" s="539">
        <v>1000</v>
      </c>
      <c r="I409" s="522">
        <v>8.5399999999999991</v>
      </c>
      <c r="J409" s="523">
        <v>0.19</v>
      </c>
      <c r="K409" s="523">
        <f>H409*I409-J409</f>
        <v>8539.81</v>
      </c>
      <c r="L409" s="521"/>
      <c r="M409" s="622"/>
    </row>
    <row r="410" spans="1:13" ht="15" customHeight="1" x14ac:dyDescent="0.25">
      <c r="A410" s="521"/>
      <c r="B410" s="572">
        <v>42320</v>
      </c>
      <c r="C410" s="521">
        <v>1000</v>
      </c>
      <c r="D410" s="522">
        <v>17.82</v>
      </c>
      <c r="E410" s="523">
        <v>0</v>
      </c>
      <c r="F410" s="523">
        <f t="shared" si="110"/>
        <v>17820</v>
      </c>
      <c r="G410" s="520">
        <v>42429</v>
      </c>
      <c r="H410" s="539">
        <v>500</v>
      </c>
      <c r="I410" s="522">
        <v>7.95</v>
      </c>
      <c r="J410" s="523">
        <v>0.09</v>
      </c>
      <c r="K410" s="523">
        <f>H410*I410-J410</f>
        <v>3974.91</v>
      </c>
      <c r="L410" s="521"/>
      <c r="M410" s="523"/>
    </row>
    <row r="411" spans="1:13" x14ac:dyDescent="0.25">
      <c r="A411" s="521"/>
      <c r="B411" s="572">
        <v>42328</v>
      </c>
      <c r="C411" s="521">
        <v>3078</v>
      </c>
      <c r="D411" s="522">
        <v>17.47</v>
      </c>
      <c r="E411" s="523">
        <v>0</v>
      </c>
      <c r="F411" s="523">
        <f t="shared" si="110"/>
        <v>53772.659999999996</v>
      </c>
      <c r="G411" s="520">
        <v>42429</v>
      </c>
      <c r="H411" s="539">
        <v>500</v>
      </c>
      <c r="I411" s="522">
        <v>7.97</v>
      </c>
      <c r="J411" s="523">
        <v>0.09</v>
      </c>
      <c r="K411" s="523">
        <f t="shared" ref="K411:K470" si="113">H411*I411-J411</f>
        <v>3984.91</v>
      </c>
      <c r="L411" s="521"/>
      <c r="M411" s="523"/>
    </row>
    <row r="412" spans="1:13" x14ac:dyDescent="0.25">
      <c r="A412" s="521"/>
      <c r="B412" s="572">
        <v>42340</v>
      </c>
      <c r="C412" s="521">
        <v>3078</v>
      </c>
      <c r="D412" s="522">
        <v>17.739999999999998</v>
      </c>
      <c r="E412" s="523">
        <v>0</v>
      </c>
      <c r="F412" s="523">
        <f t="shared" si="110"/>
        <v>54603.719999999994</v>
      </c>
      <c r="G412" s="520">
        <v>42430</v>
      </c>
      <c r="H412" s="539">
        <v>500</v>
      </c>
      <c r="I412" s="522">
        <v>7.85</v>
      </c>
      <c r="J412" s="523">
        <v>0.09</v>
      </c>
      <c r="K412" s="523">
        <f t="shared" si="113"/>
        <v>3924.91</v>
      </c>
      <c r="L412" s="521"/>
      <c r="M412" s="523"/>
    </row>
    <row r="413" spans="1:13" x14ac:dyDescent="0.25">
      <c r="A413" s="521"/>
      <c r="B413" s="572">
        <v>42340</v>
      </c>
      <c r="C413" s="521">
        <v>500</v>
      </c>
      <c r="D413" s="522">
        <v>17.5</v>
      </c>
      <c r="E413" s="523">
        <v>0</v>
      </c>
      <c r="F413" s="523">
        <f t="shared" si="110"/>
        <v>8750</v>
      </c>
      <c r="G413" s="520">
        <v>42430</v>
      </c>
      <c r="H413" s="539">
        <v>500</v>
      </c>
      <c r="I413" s="522">
        <v>8.0299999999999994</v>
      </c>
      <c r="J413" s="523">
        <v>0.09</v>
      </c>
      <c r="K413" s="523">
        <f t="shared" si="113"/>
        <v>4014.9099999999994</v>
      </c>
      <c r="L413" s="523"/>
      <c r="M413" s="523"/>
    </row>
    <row r="414" spans="1:13" x14ac:dyDescent="0.25">
      <c r="A414" s="521"/>
      <c r="B414" s="572">
        <v>42345</v>
      </c>
      <c r="C414" s="521">
        <v>100</v>
      </c>
      <c r="D414" s="522">
        <v>16.7</v>
      </c>
      <c r="E414" s="523">
        <v>0</v>
      </c>
      <c r="F414" s="523">
        <f t="shared" si="110"/>
        <v>1670</v>
      </c>
      <c r="G414" s="520">
        <v>42431</v>
      </c>
      <c r="H414" s="539">
        <v>500</v>
      </c>
      <c r="I414" s="522">
        <v>8.3800000000000008</v>
      </c>
      <c r="J414" s="523">
        <v>0.09</v>
      </c>
      <c r="K414" s="523">
        <f t="shared" si="113"/>
        <v>4189.91</v>
      </c>
      <c r="L414" s="523"/>
      <c r="M414" s="523"/>
    </row>
    <row r="415" spans="1:13" x14ac:dyDescent="0.25">
      <c r="A415" s="521"/>
      <c r="B415" s="572">
        <v>42345</v>
      </c>
      <c r="C415" s="521">
        <v>500</v>
      </c>
      <c r="D415" s="522">
        <v>16.850000000000001</v>
      </c>
      <c r="E415" s="523">
        <v>0</v>
      </c>
      <c r="F415" s="523">
        <f t="shared" si="110"/>
        <v>8425</v>
      </c>
      <c r="G415" s="520">
        <v>42431</v>
      </c>
      <c r="H415" s="539">
        <v>500</v>
      </c>
      <c r="I415" s="522">
        <v>8.58</v>
      </c>
      <c r="J415" s="523">
        <v>0.09</v>
      </c>
      <c r="K415" s="523">
        <f t="shared" si="113"/>
        <v>4289.91</v>
      </c>
      <c r="L415" s="521"/>
      <c r="M415" s="523"/>
    </row>
    <row r="416" spans="1:13" ht="30" x14ac:dyDescent="0.25">
      <c r="A416" s="521"/>
      <c r="B416" s="572">
        <v>42347</v>
      </c>
      <c r="C416" s="521">
        <v>500</v>
      </c>
      <c r="D416" s="522">
        <v>15.84</v>
      </c>
      <c r="E416" s="523">
        <v>0</v>
      </c>
      <c r="F416" s="523">
        <f t="shared" si="110"/>
        <v>7920</v>
      </c>
      <c r="G416" s="637" t="s">
        <v>184</v>
      </c>
      <c r="H416" s="539">
        <v>400</v>
      </c>
      <c r="I416" s="522">
        <v>9.09</v>
      </c>
      <c r="J416" s="523">
        <v>0.1</v>
      </c>
      <c r="K416" s="523">
        <f t="shared" si="113"/>
        <v>3635.9</v>
      </c>
      <c r="L416" s="521"/>
      <c r="M416" s="523"/>
    </row>
    <row r="417" spans="1:13" ht="15" customHeight="1" x14ac:dyDescent="0.25">
      <c r="A417" s="521"/>
      <c r="B417" s="572">
        <v>42348</v>
      </c>
      <c r="C417" s="521">
        <v>500</v>
      </c>
      <c r="D417" s="522">
        <v>14.78</v>
      </c>
      <c r="E417" s="523">
        <v>0</v>
      </c>
      <c r="F417" s="523">
        <f t="shared" si="110"/>
        <v>7390</v>
      </c>
      <c r="G417" s="637"/>
      <c r="H417" s="539">
        <v>100</v>
      </c>
      <c r="I417" s="522">
        <v>9.09</v>
      </c>
      <c r="J417" s="523">
        <v>0</v>
      </c>
      <c r="K417" s="523">
        <f t="shared" si="113"/>
        <v>909</v>
      </c>
      <c r="L417" s="521"/>
      <c r="M417" s="523"/>
    </row>
    <row r="418" spans="1:13" x14ac:dyDescent="0.25">
      <c r="A418" s="521"/>
      <c r="B418" s="572">
        <v>42352</v>
      </c>
      <c r="C418" s="521">
        <v>100</v>
      </c>
      <c r="D418" s="522">
        <v>14.57</v>
      </c>
      <c r="E418" s="523">
        <v>0</v>
      </c>
      <c r="F418" s="523">
        <f t="shared" si="110"/>
        <v>1457</v>
      </c>
      <c r="G418" s="637"/>
      <c r="H418" s="539">
        <v>500</v>
      </c>
      <c r="I418" s="522">
        <v>8.81</v>
      </c>
      <c r="J418" s="523">
        <v>0.1</v>
      </c>
      <c r="K418" s="523">
        <f t="shared" si="113"/>
        <v>4404.8999999999996</v>
      </c>
      <c r="L418" s="521"/>
      <c r="M418" s="523"/>
    </row>
    <row r="419" spans="1:13" x14ac:dyDescent="0.25">
      <c r="A419" s="521"/>
      <c r="B419" s="572">
        <v>42355</v>
      </c>
      <c r="C419" s="521">
        <v>500</v>
      </c>
      <c r="D419" s="522">
        <v>13.89</v>
      </c>
      <c r="E419" s="523">
        <v>0</v>
      </c>
      <c r="F419" s="523">
        <f t="shared" si="110"/>
        <v>6945</v>
      </c>
      <c r="G419" s="520">
        <v>42432</v>
      </c>
      <c r="H419" s="539">
        <v>600</v>
      </c>
      <c r="I419" s="522">
        <v>9.65</v>
      </c>
      <c r="J419" s="523">
        <v>0.13</v>
      </c>
      <c r="K419" s="523">
        <f t="shared" si="113"/>
        <v>5789.87</v>
      </c>
      <c r="L419" s="521"/>
      <c r="M419" s="523"/>
    </row>
    <row r="420" spans="1:13" x14ac:dyDescent="0.25">
      <c r="A420" s="521"/>
      <c r="B420" s="572">
        <v>42360</v>
      </c>
      <c r="C420" s="521">
        <v>500</v>
      </c>
      <c r="D420" s="522">
        <v>12.95</v>
      </c>
      <c r="E420" s="523">
        <v>0</v>
      </c>
      <c r="F420" s="523">
        <f t="shared" si="110"/>
        <v>6475</v>
      </c>
      <c r="G420" s="520">
        <v>42433</v>
      </c>
      <c r="H420" s="539">
        <v>600</v>
      </c>
      <c r="I420" s="522">
        <v>10.45</v>
      </c>
      <c r="J420" s="523">
        <v>0.14000000000000001</v>
      </c>
      <c r="K420" s="523">
        <f t="shared" si="113"/>
        <v>6269.86</v>
      </c>
      <c r="L420" s="521"/>
      <c r="M420" s="523"/>
    </row>
    <row r="421" spans="1:13" x14ac:dyDescent="0.25">
      <c r="A421" s="521"/>
      <c r="B421" s="572">
        <v>42361</v>
      </c>
      <c r="C421" s="521">
        <v>500</v>
      </c>
      <c r="D421" s="522">
        <v>12.75</v>
      </c>
      <c r="E421" s="523">
        <v>0</v>
      </c>
      <c r="F421" s="523">
        <f t="shared" si="110"/>
        <v>6375</v>
      </c>
      <c r="G421" s="520">
        <v>42440</v>
      </c>
      <c r="H421" s="539">
        <v>400</v>
      </c>
      <c r="I421" s="522">
        <v>11.25</v>
      </c>
      <c r="J421" s="523">
        <v>0.1</v>
      </c>
      <c r="K421" s="523">
        <f t="shared" si="113"/>
        <v>4499.8999999999996</v>
      </c>
      <c r="L421" s="521"/>
      <c r="M421" s="523"/>
    </row>
    <row r="422" spans="1:13" x14ac:dyDescent="0.25">
      <c r="A422" s="521"/>
      <c r="B422" s="572">
        <v>42361</v>
      </c>
      <c r="C422" s="521">
        <v>500</v>
      </c>
      <c r="D422" s="522">
        <v>12.8</v>
      </c>
      <c r="E422" s="523">
        <v>0</v>
      </c>
      <c r="F422" s="523">
        <f t="shared" si="110"/>
        <v>6400</v>
      </c>
      <c r="G422" s="520">
        <v>42446</v>
      </c>
      <c r="H422" s="539">
        <v>1500</v>
      </c>
      <c r="I422" s="522">
        <v>11.49</v>
      </c>
      <c r="J422" s="523">
        <v>0.38</v>
      </c>
      <c r="K422" s="523">
        <f t="shared" si="113"/>
        <v>17234.62</v>
      </c>
      <c r="L422" s="521"/>
      <c r="M422" s="523"/>
    </row>
    <row r="423" spans="1:13" ht="15" customHeight="1" x14ac:dyDescent="0.25">
      <c r="A423" s="521"/>
      <c r="B423" s="572">
        <v>42361</v>
      </c>
      <c r="C423" s="521">
        <v>1000</v>
      </c>
      <c r="D423" s="522">
        <v>12.67</v>
      </c>
      <c r="E423" s="523">
        <v>0</v>
      </c>
      <c r="F423" s="523">
        <f t="shared" si="110"/>
        <v>12670</v>
      </c>
      <c r="G423" s="520">
        <v>42447</v>
      </c>
      <c r="H423" s="539">
        <v>1500</v>
      </c>
      <c r="I423" s="522">
        <v>11.44</v>
      </c>
      <c r="J423" s="523">
        <v>0.37</v>
      </c>
      <c r="K423" s="523">
        <f t="shared" si="113"/>
        <v>17159.63</v>
      </c>
      <c r="L423" s="521"/>
      <c r="M423" s="523"/>
    </row>
    <row r="424" spans="1:13" x14ac:dyDescent="0.25">
      <c r="A424" s="521"/>
      <c r="B424" s="572">
        <v>42361</v>
      </c>
      <c r="C424" s="521">
        <v>222</v>
      </c>
      <c r="D424" s="522">
        <v>12.44</v>
      </c>
      <c r="E424" s="523">
        <v>0</v>
      </c>
      <c r="F424" s="523">
        <f t="shared" si="110"/>
        <v>2761.68</v>
      </c>
      <c r="G424" s="520">
        <v>42447</v>
      </c>
      <c r="H424" s="539">
        <v>500</v>
      </c>
      <c r="I424" s="522">
        <v>11.484999999999999</v>
      </c>
      <c r="J424" s="523">
        <v>0.13</v>
      </c>
      <c r="K424" s="523">
        <f t="shared" si="113"/>
        <v>5742.37</v>
      </c>
      <c r="L424" s="521"/>
      <c r="M424" s="523"/>
    </row>
    <row r="425" spans="1:13" x14ac:dyDescent="0.25">
      <c r="A425" s="521"/>
      <c r="B425" s="572">
        <v>42367</v>
      </c>
      <c r="C425" s="521">
        <v>2178</v>
      </c>
      <c r="D425" s="522">
        <v>13.68</v>
      </c>
      <c r="E425" s="523">
        <v>0</v>
      </c>
      <c r="F425" s="523">
        <f t="shared" si="110"/>
        <v>29795.040000000001</v>
      </c>
      <c r="G425" s="636">
        <v>42447</v>
      </c>
      <c r="H425" s="539">
        <v>650</v>
      </c>
      <c r="I425" s="522">
        <v>11.56</v>
      </c>
      <c r="J425" s="523">
        <v>0.25</v>
      </c>
      <c r="K425" s="523">
        <f t="shared" si="113"/>
        <v>7513.75</v>
      </c>
      <c r="L425" s="521"/>
      <c r="M425" s="523"/>
    </row>
    <row r="426" spans="1:13" x14ac:dyDescent="0.25">
      <c r="A426" s="521"/>
      <c r="B426" s="572">
        <v>42369</v>
      </c>
      <c r="C426" s="521">
        <v>2500</v>
      </c>
      <c r="D426" s="522">
        <v>13.04</v>
      </c>
      <c r="E426" s="523">
        <v>0</v>
      </c>
      <c r="F426" s="523">
        <f t="shared" si="110"/>
        <v>32599.999999999996</v>
      </c>
      <c r="G426" s="636"/>
      <c r="H426" s="539">
        <v>350</v>
      </c>
      <c r="I426" s="522">
        <v>11.56</v>
      </c>
      <c r="J426" s="523">
        <v>0</v>
      </c>
      <c r="K426" s="523">
        <f t="shared" si="113"/>
        <v>4046</v>
      </c>
      <c r="L426" s="521"/>
      <c r="M426" s="523"/>
    </row>
    <row r="427" spans="1:13" x14ac:dyDescent="0.25">
      <c r="A427" s="521"/>
      <c r="B427" s="572">
        <v>42008</v>
      </c>
      <c r="C427" s="521">
        <v>2000</v>
      </c>
      <c r="D427" s="522">
        <v>13.01</v>
      </c>
      <c r="E427" s="523">
        <v>0</v>
      </c>
      <c r="F427" s="523">
        <f t="shared" si="110"/>
        <v>26020</v>
      </c>
      <c r="G427" s="520">
        <v>42447</v>
      </c>
      <c r="H427" s="539">
        <v>1000</v>
      </c>
      <c r="I427" s="522">
        <v>11.62</v>
      </c>
      <c r="J427" s="523">
        <v>0.25</v>
      </c>
      <c r="K427" s="523">
        <f t="shared" si="113"/>
        <v>11619.75</v>
      </c>
      <c r="L427" s="521"/>
      <c r="M427" s="523"/>
    </row>
    <row r="428" spans="1:13" x14ac:dyDescent="0.25">
      <c r="A428" s="521"/>
      <c r="B428" s="572">
        <v>42009</v>
      </c>
      <c r="C428" s="521">
        <v>500</v>
      </c>
      <c r="D428" s="522">
        <v>12.62</v>
      </c>
      <c r="E428" s="523">
        <v>0</v>
      </c>
      <c r="F428" s="523">
        <f t="shared" si="110"/>
        <v>6310</v>
      </c>
      <c r="G428" s="520">
        <v>42451</v>
      </c>
      <c r="H428" s="539">
        <v>1000</v>
      </c>
      <c r="I428" s="522">
        <v>11.45</v>
      </c>
      <c r="J428" s="523">
        <v>0.25</v>
      </c>
      <c r="K428" s="523">
        <f t="shared" si="113"/>
        <v>11449.75</v>
      </c>
      <c r="L428" s="521"/>
      <c r="M428" s="523"/>
    </row>
    <row r="429" spans="1:13" x14ac:dyDescent="0.25">
      <c r="A429" s="521"/>
      <c r="B429" s="572">
        <v>42009</v>
      </c>
      <c r="C429" s="521">
        <v>500</v>
      </c>
      <c r="D429" s="522">
        <v>12.45</v>
      </c>
      <c r="E429" s="523">
        <v>0</v>
      </c>
      <c r="F429" s="523">
        <f t="shared" si="110"/>
        <v>6225</v>
      </c>
      <c r="G429" s="520">
        <v>42451</v>
      </c>
      <c r="H429" s="539">
        <v>50</v>
      </c>
      <c r="I429" s="522">
        <v>11.28</v>
      </c>
      <c r="J429" s="523">
        <v>0.01</v>
      </c>
      <c r="K429" s="523">
        <f t="shared" si="113"/>
        <v>563.99</v>
      </c>
      <c r="L429" s="521"/>
      <c r="M429" s="523"/>
    </row>
    <row r="430" spans="1:13" x14ac:dyDescent="0.25">
      <c r="A430" s="521"/>
      <c r="B430" s="623">
        <v>42374</v>
      </c>
      <c r="C430" s="521">
        <v>2000</v>
      </c>
      <c r="D430" s="522">
        <v>12.73</v>
      </c>
      <c r="E430" s="523">
        <v>0</v>
      </c>
      <c r="F430" s="523">
        <f t="shared" ref="F430:F493" si="114">C430*D430+E430</f>
        <v>25460</v>
      </c>
      <c r="G430" s="520">
        <v>42459</v>
      </c>
      <c r="H430" s="539">
        <v>2000</v>
      </c>
      <c r="I430" s="522">
        <v>10.75</v>
      </c>
      <c r="J430" s="523">
        <v>0.47</v>
      </c>
      <c r="K430" s="523">
        <f t="shared" si="113"/>
        <v>21499.53</v>
      </c>
      <c r="L430" s="521"/>
      <c r="M430" s="523"/>
    </row>
    <row r="431" spans="1:13" x14ac:dyDescent="0.25">
      <c r="A431" s="521"/>
      <c r="B431" s="572">
        <v>42375</v>
      </c>
      <c r="C431" s="521">
        <v>1000</v>
      </c>
      <c r="D431" s="522">
        <v>12.5</v>
      </c>
      <c r="E431" s="523">
        <v>0</v>
      </c>
      <c r="F431" s="523">
        <f t="shared" si="114"/>
        <v>12500</v>
      </c>
      <c r="G431" s="520">
        <v>42460</v>
      </c>
      <c r="H431" s="539">
        <v>1600</v>
      </c>
      <c r="I431" s="522">
        <v>10.95</v>
      </c>
      <c r="J431" s="523">
        <v>2.88</v>
      </c>
      <c r="K431" s="523">
        <f t="shared" si="113"/>
        <v>17517.12</v>
      </c>
      <c r="L431" s="521"/>
      <c r="M431" s="523"/>
    </row>
    <row r="432" spans="1:13" x14ac:dyDescent="0.25">
      <c r="A432" s="521"/>
      <c r="B432" s="572">
        <v>42375</v>
      </c>
      <c r="C432" s="521">
        <v>1000</v>
      </c>
      <c r="D432" s="522">
        <v>11.7</v>
      </c>
      <c r="E432" s="523">
        <v>0</v>
      </c>
      <c r="F432" s="523">
        <f t="shared" si="114"/>
        <v>11700</v>
      </c>
      <c r="G432" s="520">
        <v>42461</v>
      </c>
      <c r="H432" s="539">
        <v>2000</v>
      </c>
      <c r="I432" s="522">
        <v>10.52</v>
      </c>
      <c r="J432" s="523">
        <v>0.46</v>
      </c>
      <c r="K432" s="523">
        <f t="shared" si="113"/>
        <v>21039.54</v>
      </c>
      <c r="L432" s="521"/>
      <c r="M432" s="523"/>
    </row>
    <row r="433" spans="1:13" x14ac:dyDescent="0.25">
      <c r="A433" s="521"/>
      <c r="B433" s="572">
        <v>42402</v>
      </c>
      <c r="C433" s="521">
        <v>400</v>
      </c>
      <c r="D433" s="522">
        <v>9.1</v>
      </c>
      <c r="E433" s="523">
        <v>0</v>
      </c>
      <c r="F433" s="523">
        <f t="shared" si="114"/>
        <v>3640</v>
      </c>
      <c r="G433" s="520">
        <v>42461</v>
      </c>
      <c r="H433" s="539">
        <v>2000</v>
      </c>
      <c r="I433" s="522">
        <v>10.55</v>
      </c>
      <c r="J433" s="523">
        <v>0.46</v>
      </c>
      <c r="K433" s="523">
        <f t="shared" si="113"/>
        <v>21099.54</v>
      </c>
      <c r="L433" s="521"/>
      <c r="M433" s="523"/>
    </row>
    <row r="434" spans="1:13" x14ac:dyDescent="0.25">
      <c r="A434" s="521"/>
      <c r="B434" s="572">
        <v>42411</v>
      </c>
      <c r="C434" s="521">
        <v>500</v>
      </c>
      <c r="D434" s="522">
        <v>6.835</v>
      </c>
      <c r="E434" s="523">
        <v>0</v>
      </c>
      <c r="F434" s="523">
        <f t="shared" si="114"/>
        <v>3417.5</v>
      </c>
      <c r="G434" s="520">
        <v>42465</v>
      </c>
      <c r="H434" s="539">
        <v>100</v>
      </c>
      <c r="I434" s="522">
        <v>10.75</v>
      </c>
      <c r="J434" s="523">
        <v>0.02</v>
      </c>
      <c r="K434" s="523">
        <f t="shared" si="113"/>
        <v>1074.98</v>
      </c>
      <c r="L434" s="521"/>
      <c r="M434" s="523"/>
    </row>
    <row r="435" spans="1:13" x14ac:dyDescent="0.25">
      <c r="A435" s="521"/>
      <c r="B435" s="572">
        <v>42412</v>
      </c>
      <c r="C435" s="521">
        <v>200</v>
      </c>
      <c r="D435" s="522">
        <v>7.23</v>
      </c>
      <c r="E435" s="523">
        <v>0</v>
      </c>
      <c r="F435" s="523">
        <f t="shared" si="114"/>
        <v>1446</v>
      </c>
      <c r="G435" s="520">
        <v>42468</v>
      </c>
      <c r="H435" s="539">
        <v>1000</v>
      </c>
      <c r="I435" s="522">
        <v>11.77</v>
      </c>
      <c r="J435" s="523">
        <v>0.26</v>
      </c>
      <c r="K435" s="523">
        <f t="shared" si="113"/>
        <v>11769.74</v>
      </c>
      <c r="L435" s="521"/>
      <c r="M435" s="523"/>
    </row>
    <row r="436" spans="1:13" x14ac:dyDescent="0.25">
      <c r="A436" s="521"/>
      <c r="B436" s="572">
        <v>42416</v>
      </c>
      <c r="C436" s="521">
        <v>500</v>
      </c>
      <c r="D436" s="522">
        <v>7.5</v>
      </c>
      <c r="E436" s="523">
        <v>0</v>
      </c>
      <c r="F436" s="523">
        <f t="shared" si="114"/>
        <v>3750</v>
      </c>
      <c r="G436" s="636">
        <v>42472</v>
      </c>
      <c r="H436" s="539">
        <v>420</v>
      </c>
      <c r="I436" s="522">
        <v>13.35</v>
      </c>
      <c r="J436" s="523">
        <v>0.15</v>
      </c>
      <c r="K436" s="523">
        <f t="shared" si="113"/>
        <v>5606.85</v>
      </c>
      <c r="L436" s="521"/>
      <c r="M436" s="523"/>
    </row>
    <row r="437" spans="1:13" ht="30" x14ac:dyDescent="0.25">
      <c r="A437" s="521"/>
      <c r="B437" s="639" t="s">
        <v>180</v>
      </c>
      <c r="C437" s="521">
        <v>3000</v>
      </c>
      <c r="D437" s="522">
        <v>7.55</v>
      </c>
      <c r="E437" s="523">
        <v>0</v>
      </c>
      <c r="F437" s="523">
        <f t="shared" si="114"/>
        <v>22650</v>
      </c>
      <c r="G437" s="636"/>
      <c r="H437" s="539">
        <v>80</v>
      </c>
      <c r="I437" s="522">
        <v>13.35</v>
      </c>
      <c r="J437" s="523">
        <v>0</v>
      </c>
      <c r="K437" s="523">
        <f t="shared" si="113"/>
        <v>1068</v>
      </c>
      <c r="L437" s="521"/>
      <c r="M437" s="523"/>
    </row>
    <row r="438" spans="1:13" x14ac:dyDescent="0.25">
      <c r="A438" s="521"/>
      <c r="B438" s="639"/>
      <c r="C438" s="521">
        <v>500</v>
      </c>
      <c r="D438" s="522">
        <v>6.75</v>
      </c>
      <c r="E438" s="523">
        <v>0</v>
      </c>
      <c r="F438" s="523">
        <f t="shared" si="114"/>
        <v>3375</v>
      </c>
      <c r="G438" s="520">
        <v>42472</v>
      </c>
      <c r="H438" s="539">
        <v>500</v>
      </c>
      <c r="I438" s="522">
        <v>13.15</v>
      </c>
      <c r="J438" s="523">
        <v>0.14000000000000001</v>
      </c>
      <c r="K438" s="523">
        <f t="shared" si="113"/>
        <v>6574.86</v>
      </c>
      <c r="L438" s="521"/>
      <c r="M438" s="523"/>
    </row>
    <row r="439" spans="1:13" x14ac:dyDescent="0.25">
      <c r="A439" s="521"/>
      <c r="B439" s="639"/>
      <c r="C439" s="521">
        <v>300</v>
      </c>
      <c r="D439" s="522">
        <v>6.75</v>
      </c>
      <c r="E439" s="523">
        <v>0</v>
      </c>
      <c r="F439" s="523">
        <f t="shared" si="114"/>
        <v>2025</v>
      </c>
      <c r="G439" s="520">
        <v>42472</v>
      </c>
      <c r="H439" s="539">
        <v>500</v>
      </c>
      <c r="I439" s="522">
        <v>12.92</v>
      </c>
      <c r="J439" s="523">
        <v>0.14000000000000001</v>
      </c>
      <c r="K439" s="523">
        <f t="shared" si="113"/>
        <v>6459.86</v>
      </c>
      <c r="L439" s="521"/>
      <c r="M439" s="523"/>
    </row>
    <row r="440" spans="1:13" x14ac:dyDescent="0.25">
      <c r="A440" s="521"/>
      <c r="B440" s="572">
        <v>42426</v>
      </c>
      <c r="C440" s="521">
        <v>600</v>
      </c>
      <c r="D440" s="522">
        <v>7.63</v>
      </c>
      <c r="E440" s="523">
        <v>0</v>
      </c>
      <c r="F440" s="523">
        <f t="shared" si="114"/>
        <v>4578</v>
      </c>
      <c r="G440" s="520">
        <v>42472</v>
      </c>
      <c r="H440" s="539">
        <v>500</v>
      </c>
      <c r="I440" s="522">
        <v>12.59</v>
      </c>
      <c r="J440" s="523">
        <v>0.14000000000000001</v>
      </c>
      <c r="K440" s="523">
        <f t="shared" si="113"/>
        <v>6294.86</v>
      </c>
      <c r="L440" s="521"/>
      <c r="M440" s="523"/>
    </row>
    <row r="441" spans="1:13" x14ac:dyDescent="0.25">
      <c r="A441" s="521"/>
      <c r="B441" s="572">
        <v>42426</v>
      </c>
      <c r="C441" s="521">
        <v>2000</v>
      </c>
      <c r="D441" s="522">
        <v>7.95</v>
      </c>
      <c r="E441" s="523">
        <v>0</v>
      </c>
      <c r="F441" s="523">
        <f t="shared" si="114"/>
        <v>15900</v>
      </c>
      <c r="G441" s="520">
        <v>42474</v>
      </c>
      <c r="H441" s="539">
        <v>500</v>
      </c>
      <c r="I441" s="522">
        <v>13.18</v>
      </c>
      <c r="J441" s="523">
        <v>0.14000000000000001</v>
      </c>
      <c r="K441" s="523">
        <f t="shared" si="113"/>
        <v>6589.86</v>
      </c>
      <c r="L441" s="521"/>
      <c r="M441" s="523"/>
    </row>
    <row r="442" spans="1:13" x14ac:dyDescent="0.25">
      <c r="A442" s="521"/>
      <c r="B442" s="572">
        <v>42429</v>
      </c>
      <c r="C442" s="521">
        <v>2000</v>
      </c>
      <c r="D442" s="522">
        <v>8.1999999999999993</v>
      </c>
      <c r="E442" s="523">
        <v>0</v>
      </c>
      <c r="F442" s="523">
        <f t="shared" si="114"/>
        <v>16400</v>
      </c>
      <c r="G442" s="520">
        <v>42478</v>
      </c>
      <c r="H442" s="539">
        <v>500</v>
      </c>
      <c r="I442" s="522">
        <v>13.4</v>
      </c>
      <c r="J442" s="523">
        <v>0.15</v>
      </c>
      <c r="K442" s="523">
        <f t="shared" si="113"/>
        <v>6699.85</v>
      </c>
      <c r="L442" s="521"/>
      <c r="M442" s="523"/>
    </row>
    <row r="443" spans="1:13" x14ac:dyDescent="0.25">
      <c r="A443" s="523"/>
      <c r="B443" s="572">
        <v>42429</v>
      </c>
      <c r="C443" s="521">
        <v>500</v>
      </c>
      <c r="D443" s="522">
        <v>7.88</v>
      </c>
      <c r="E443" s="523">
        <v>0</v>
      </c>
      <c r="F443" s="523">
        <f t="shared" si="114"/>
        <v>3940</v>
      </c>
      <c r="G443" s="520">
        <v>42486</v>
      </c>
      <c r="H443" s="539">
        <v>500</v>
      </c>
      <c r="I443" s="522">
        <v>14.35</v>
      </c>
      <c r="J443" s="523">
        <v>0.16</v>
      </c>
      <c r="K443" s="523">
        <f t="shared" si="113"/>
        <v>7174.84</v>
      </c>
      <c r="L443" s="521"/>
      <c r="M443" s="523"/>
    </row>
    <row r="444" spans="1:13" ht="15" customHeight="1" x14ac:dyDescent="0.25">
      <c r="A444" s="521"/>
      <c r="B444" s="572">
        <v>42430</v>
      </c>
      <c r="C444" s="521">
        <v>1000</v>
      </c>
      <c r="D444" s="522">
        <v>7.77</v>
      </c>
      <c r="E444" s="523">
        <v>0</v>
      </c>
      <c r="F444" s="523">
        <f t="shared" si="114"/>
        <v>7770</v>
      </c>
      <c r="G444" s="520">
        <v>42487</v>
      </c>
      <c r="H444" s="539">
        <v>600</v>
      </c>
      <c r="I444" s="522">
        <v>14.85</v>
      </c>
      <c r="J444" s="523">
        <v>0.19</v>
      </c>
      <c r="K444" s="523">
        <f t="shared" si="113"/>
        <v>8909.81</v>
      </c>
      <c r="L444" s="521"/>
      <c r="M444" s="523"/>
    </row>
    <row r="445" spans="1:13" x14ac:dyDescent="0.25">
      <c r="A445" s="521"/>
      <c r="B445" s="572">
        <v>42430</v>
      </c>
      <c r="C445" s="521">
        <v>500</v>
      </c>
      <c r="D445" s="522">
        <v>7.94</v>
      </c>
      <c r="E445" s="523">
        <v>0</v>
      </c>
      <c r="F445" s="523">
        <f t="shared" si="114"/>
        <v>3970</v>
      </c>
      <c r="G445" s="520">
        <v>42489</v>
      </c>
      <c r="H445" s="539">
        <v>3000</v>
      </c>
      <c r="I445" s="522">
        <v>14.15</v>
      </c>
      <c r="J445" s="523">
        <v>0.93</v>
      </c>
      <c r="K445" s="523">
        <f t="shared" si="113"/>
        <v>42449.07</v>
      </c>
      <c r="L445" s="521"/>
      <c r="M445" s="523"/>
    </row>
    <row r="446" spans="1:13" x14ac:dyDescent="0.25">
      <c r="A446" s="521"/>
      <c r="B446" s="572">
        <v>42431</v>
      </c>
      <c r="C446" s="521">
        <v>1000</v>
      </c>
      <c r="D446" s="522">
        <v>8.3699999999999992</v>
      </c>
      <c r="E446" s="523">
        <v>0</v>
      </c>
      <c r="F446" s="523">
        <f t="shared" si="114"/>
        <v>8370</v>
      </c>
      <c r="G446" s="520">
        <v>42492</v>
      </c>
      <c r="H446" s="539">
        <v>1000</v>
      </c>
      <c r="I446" s="522">
        <v>13.48</v>
      </c>
      <c r="J446" s="523">
        <v>0.28999999999999998</v>
      </c>
      <c r="K446" s="523">
        <f t="shared" si="113"/>
        <v>13479.71</v>
      </c>
      <c r="L446" s="521"/>
      <c r="M446" s="523"/>
    </row>
    <row r="447" spans="1:13" x14ac:dyDescent="0.25">
      <c r="A447" s="521"/>
      <c r="B447" s="572">
        <v>42432</v>
      </c>
      <c r="C447" s="521">
        <v>600</v>
      </c>
      <c r="D447" s="522">
        <v>9.3699999999999992</v>
      </c>
      <c r="E447" s="523">
        <v>0</v>
      </c>
      <c r="F447" s="523">
        <f t="shared" si="114"/>
        <v>5621.9999999999991</v>
      </c>
      <c r="G447" s="520">
        <v>42492</v>
      </c>
      <c r="H447" s="539">
        <v>1000</v>
      </c>
      <c r="I447" s="522">
        <v>13.61</v>
      </c>
      <c r="J447" s="523">
        <v>0.3</v>
      </c>
      <c r="K447" s="523">
        <f t="shared" si="113"/>
        <v>13609.7</v>
      </c>
      <c r="L447" s="521"/>
      <c r="M447" s="523"/>
    </row>
    <row r="448" spans="1:13" x14ac:dyDescent="0.25">
      <c r="A448" s="521"/>
      <c r="B448" s="572">
        <v>42432</v>
      </c>
      <c r="C448" s="521">
        <v>600</v>
      </c>
      <c r="D448" s="522">
        <v>8.8800000000000008</v>
      </c>
      <c r="E448" s="523">
        <v>0</v>
      </c>
      <c r="F448" s="523">
        <f t="shared" si="114"/>
        <v>5328.0000000000009</v>
      </c>
      <c r="G448" s="520">
        <v>42493</v>
      </c>
      <c r="H448" s="539">
        <v>322</v>
      </c>
      <c r="I448" s="522">
        <v>13.28</v>
      </c>
      <c r="J448" s="523">
        <v>0.09</v>
      </c>
      <c r="K448" s="523">
        <f t="shared" si="113"/>
        <v>4276.07</v>
      </c>
      <c r="L448" s="521"/>
      <c r="M448" s="523"/>
    </row>
    <row r="449" spans="1:13" x14ac:dyDescent="0.25">
      <c r="A449" s="521"/>
      <c r="B449" s="572">
        <v>42433</v>
      </c>
      <c r="C449" s="521">
        <v>600</v>
      </c>
      <c r="D449" s="522">
        <v>10.42</v>
      </c>
      <c r="E449" s="523">
        <v>0</v>
      </c>
      <c r="F449" s="523">
        <f t="shared" si="114"/>
        <v>6252</v>
      </c>
      <c r="G449" s="520">
        <v>42495</v>
      </c>
      <c r="H449" s="539">
        <v>1000</v>
      </c>
      <c r="I449" s="522">
        <v>12.05</v>
      </c>
      <c r="J449" s="523">
        <v>0.26</v>
      </c>
      <c r="K449" s="523">
        <f t="shared" si="113"/>
        <v>12049.74</v>
      </c>
      <c r="L449" s="521"/>
      <c r="M449" s="523"/>
    </row>
    <row r="450" spans="1:13" x14ac:dyDescent="0.25">
      <c r="A450" s="521"/>
      <c r="B450" s="572">
        <v>42440</v>
      </c>
      <c r="C450" s="521">
        <v>400</v>
      </c>
      <c r="D450" s="522">
        <v>11.12</v>
      </c>
      <c r="E450" s="523">
        <v>0</v>
      </c>
      <c r="F450" s="523">
        <f t="shared" si="114"/>
        <v>4448</v>
      </c>
      <c r="G450" s="520">
        <v>42495</v>
      </c>
      <c r="H450" s="539">
        <v>2000</v>
      </c>
      <c r="I450" s="522">
        <v>12.63</v>
      </c>
      <c r="J450" s="523">
        <v>0.55000000000000004</v>
      </c>
      <c r="K450" s="523">
        <f t="shared" si="113"/>
        <v>25259.45</v>
      </c>
      <c r="L450" s="521"/>
      <c r="M450" s="523"/>
    </row>
    <row r="451" spans="1:13" x14ac:dyDescent="0.25">
      <c r="A451" s="521"/>
      <c r="B451" s="572">
        <v>42446</v>
      </c>
      <c r="C451" s="521">
        <v>1500</v>
      </c>
      <c r="D451" s="522">
        <v>11.445</v>
      </c>
      <c r="E451" s="523">
        <v>0</v>
      </c>
      <c r="F451" s="523">
        <f t="shared" si="114"/>
        <v>17167.5</v>
      </c>
      <c r="G451" s="520">
        <v>42500</v>
      </c>
      <c r="H451" s="539">
        <v>1000</v>
      </c>
      <c r="I451" s="522">
        <v>11.66</v>
      </c>
      <c r="J451" s="523">
        <v>5.25</v>
      </c>
      <c r="K451" s="523">
        <f t="shared" si="113"/>
        <v>11654.75</v>
      </c>
      <c r="L451" s="521"/>
      <c r="M451" s="523"/>
    </row>
    <row r="452" spans="1:13" x14ac:dyDescent="0.25">
      <c r="A452" s="521"/>
      <c r="B452" s="635">
        <v>42447</v>
      </c>
      <c r="C452" s="521">
        <v>1500</v>
      </c>
      <c r="D452" s="522">
        <v>11.42</v>
      </c>
      <c r="E452" s="523">
        <v>0</v>
      </c>
      <c r="F452" s="523">
        <f t="shared" si="114"/>
        <v>17130</v>
      </c>
      <c r="G452" s="520">
        <v>42502</v>
      </c>
      <c r="H452" s="539">
        <v>1500</v>
      </c>
      <c r="I452" s="522">
        <v>12.36</v>
      </c>
      <c r="J452" s="523">
        <v>0.4</v>
      </c>
      <c r="K452" s="523">
        <f t="shared" si="113"/>
        <v>18539.599999999999</v>
      </c>
      <c r="L452" s="521"/>
      <c r="M452" s="523"/>
    </row>
    <row r="453" spans="1:13" x14ac:dyDescent="0.25">
      <c r="A453" s="521"/>
      <c r="B453" s="640"/>
      <c r="C453" s="521">
        <v>500</v>
      </c>
      <c r="D453" s="522">
        <v>11.42</v>
      </c>
      <c r="E453" s="523">
        <v>0</v>
      </c>
      <c r="F453" s="523">
        <f t="shared" si="114"/>
        <v>5710</v>
      </c>
      <c r="G453" s="520">
        <v>42503</v>
      </c>
      <c r="H453" s="539">
        <v>500</v>
      </c>
      <c r="I453" s="522">
        <v>12.49</v>
      </c>
      <c r="J453" s="523">
        <v>0.14000000000000001</v>
      </c>
      <c r="K453" s="523">
        <f t="shared" si="113"/>
        <v>6244.86</v>
      </c>
      <c r="L453" s="521"/>
      <c r="M453" s="523"/>
    </row>
    <row r="454" spans="1:13" x14ac:dyDescent="0.25">
      <c r="A454" s="521"/>
      <c r="B454" s="572">
        <v>42447</v>
      </c>
      <c r="C454" s="521">
        <v>650</v>
      </c>
      <c r="D454" s="522">
        <v>11.545</v>
      </c>
      <c r="E454" s="523">
        <v>0.75</v>
      </c>
      <c r="F454" s="523">
        <f t="shared" si="114"/>
        <v>7505</v>
      </c>
      <c r="G454" s="520">
        <v>42506</v>
      </c>
      <c r="H454" s="539">
        <v>300</v>
      </c>
      <c r="I454" s="522">
        <v>12.85</v>
      </c>
      <c r="J454" s="523">
        <v>0.08</v>
      </c>
      <c r="K454" s="523">
        <f t="shared" si="113"/>
        <v>3854.92</v>
      </c>
      <c r="L454" s="521"/>
      <c r="M454" s="523"/>
    </row>
    <row r="455" spans="1:13" x14ac:dyDescent="0.25">
      <c r="A455" s="521"/>
      <c r="B455" s="572">
        <v>42450</v>
      </c>
      <c r="C455" s="521">
        <v>1350</v>
      </c>
      <c r="D455" s="522">
        <v>11.42</v>
      </c>
      <c r="E455" s="523">
        <v>0</v>
      </c>
      <c r="F455" s="523">
        <f t="shared" si="114"/>
        <v>15417</v>
      </c>
      <c r="G455" s="520">
        <v>42513</v>
      </c>
      <c r="H455" s="539">
        <v>500</v>
      </c>
      <c r="I455" s="522">
        <v>13.05</v>
      </c>
      <c r="J455" s="523">
        <v>0.14000000000000001</v>
      </c>
      <c r="K455" s="523">
        <f t="shared" si="113"/>
        <v>6524.86</v>
      </c>
      <c r="L455" s="521"/>
      <c r="M455" s="523"/>
    </row>
    <row r="456" spans="1:13" x14ac:dyDescent="0.25">
      <c r="A456" s="521"/>
      <c r="B456" s="572">
        <v>42451</v>
      </c>
      <c r="C456" s="521">
        <v>1000</v>
      </c>
      <c r="D456" s="522">
        <v>11.38</v>
      </c>
      <c r="E456" s="523">
        <v>0</v>
      </c>
      <c r="F456" s="523">
        <f t="shared" si="114"/>
        <v>11380</v>
      </c>
      <c r="G456" s="520">
        <v>42515</v>
      </c>
      <c r="H456" s="539">
        <v>500</v>
      </c>
      <c r="I456" s="522">
        <v>13.59</v>
      </c>
      <c r="J456" s="523">
        <v>0.15</v>
      </c>
      <c r="K456" s="523">
        <f t="shared" si="113"/>
        <v>6794.85</v>
      </c>
      <c r="L456" s="521"/>
      <c r="M456" s="523"/>
    </row>
    <row r="457" spans="1:13" x14ac:dyDescent="0.25">
      <c r="A457" s="521"/>
      <c r="B457" s="635">
        <v>42451</v>
      </c>
      <c r="C457" s="521">
        <v>50</v>
      </c>
      <c r="D457" s="522">
        <v>11.22</v>
      </c>
      <c r="E457" s="523">
        <v>0</v>
      </c>
      <c r="F457" s="523">
        <f t="shared" si="114"/>
        <v>561</v>
      </c>
      <c r="G457" s="520">
        <v>42515</v>
      </c>
      <c r="H457" s="539">
        <v>500</v>
      </c>
      <c r="I457" s="522">
        <v>13.57</v>
      </c>
      <c r="J457" s="523">
        <v>0.15</v>
      </c>
      <c r="K457" s="523">
        <f t="shared" si="113"/>
        <v>6784.85</v>
      </c>
      <c r="L457" s="521"/>
      <c r="M457" s="523"/>
    </row>
    <row r="458" spans="1:13" x14ac:dyDescent="0.25">
      <c r="A458" s="521"/>
      <c r="B458" s="635"/>
      <c r="C458" s="521">
        <v>350</v>
      </c>
      <c r="D458" s="522">
        <v>11.22</v>
      </c>
      <c r="E458" s="523">
        <v>0</v>
      </c>
      <c r="F458" s="523">
        <f t="shared" si="114"/>
        <v>3927</v>
      </c>
      <c r="G458" s="520">
        <v>42517</v>
      </c>
      <c r="H458" s="539">
        <v>500</v>
      </c>
      <c r="I458" s="522">
        <v>12.87</v>
      </c>
      <c r="J458" s="523">
        <v>0.14000000000000001</v>
      </c>
      <c r="K458" s="523">
        <f t="shared" si="113"/>
        <v>6434.86</v>
      </c>
      <c r="L458" s="521"/>
      <c r="M458" s="523"/>
    </row>
    <row r="459" spans="1:13" ht="45" x14ac:dyDescent="0.25">
      <c r="A459" s="521"/>
      <c r="B459" s="639" t="s">
        <v>194</v>
      </c>
      <c r="C459" s="521">
        <v>650</v>
      </c>
      <c r="D459" s="522">
        <v>11.22</v>
      </c>
      <c r="E459" s="523">
        <v>0</v>
      </c>
      <c r="F459" s="523">
        <f t="shared" si="114"/>
        <v>7293</v>
      </c>
      <c r="G459" s="520">
        <v>42524</v>
      </c>
      <c r="H459" s="539">
        <v>400</v>
      </c>
      <c r="I459" s="522">
        <v>13.38</v>
      </c>
      <c r="J459" s="523">
        <v>0.12</v>
      </c>
      <c r="K459" s="523">
        <f t="shared" si="113"/>
        <v>5351.88</v>
      </c>
      <c r="L459" s="521"/>
      <c r="M459" s="523"/>
    </row>
    <row r="460" spans="1:13" x14ac:dyDescent="0.25">
      <c r="A460" s="521"/>
      <c r="B460" s="639"/>
      <c r="C460" s="521">
        <v>500</v>
      </c>
      <c r="D460" s="522">
        <v>11.01</v>
      </c>
      <c r="E460" s="523">
        <v>0</v>
      </c>
      <c r="F460" s="523">
        <f t="shared" si="114"/>
        <v>5505</v>
      </c>
      <c r="G460" s="520">
        <v>42527</v>
      </c>
      <c r="H460" s="539">
        <v>1000</v>
      </c>
      <c r="I460" s="522">
        <v>13.82</v>
      </c>
      <c r="J460" s="523">
        <v>0.3</v>
      </c>
      <c r="K460" s="523">
        <f t="shared" si="113"/>
        <v>13819.7</v>
      </c>
      <c r="L460" s="521"/>
      <c r="M460" s="523"/>
    </row>
    <row r="461" spans="1:13" x14ac:dyDescent="0.25">
      <c r="A461" s="521"/>
      <c r="B461" s="639"/>
      <c r="C461" s="521">
        <v>500</v>
      </c>
      <c r="D461" s="522">
        <v>10.75</v>
      </c>
      <c r="E461" s="523">
        <v>0</v>
      </c>
      <c r="F461" s="523">
        <f t="shared" si="114"/>
        <v>5375</v>
      </c>
      <c r="G461" s="520">
        <v>42527</v>
      </c>
      <c r="H461" s="539">
        <v>500</v>
      </c>
      <c r="I461" s="522">
        <v>13.97</v>
      </c>
      <c r="J461" s="523">
        <v>1.1499999999999999</v>
      </c>
      <c r="K461" s="523">
        <f t="shared" si="113"/>
        <v>6983.85</v>
      </c>
      <c r="L461" s="521"/>
      <c r="M461" s="523"/>
    </row>
    <row r="462" spans="1:13" x14ac:dyDescent="0.25">
      <c r="A462" s="521"/>
      <c r="B462" s="639"/>
      <c r="C462" s="521">
        <v>1000</v>
      </c>
      <c r="D462" s="522">
        <v>10.4</v>
      </c>
      <c r="E462" s="523">
        <v>0</v>
      </c>
      <c r="F462" s="523">
        <f t="shared" si="114"/>
        <v>10400</v>
      </c>
      <c r="G462" s="520">
        <v>42528</v>
      </c>
      <c r="H462" s="539">
        <v>500</v>
      </c>
      <c r="I462" s="522">
        <v>14.65</v>
      </c>
      <c r="J462" s="523">
        <v>0.16</v>
      </c>
      <c r="K462" s="523">
        <f t="shared" si="113"/>
        <v>7324.84</v>
      </c>
      <c r="L462" s="521"/>
      <c r="M462" s="523"/>
    </row>
    <row r="463" spans="1:13" x14ac:dyDescent="0.25">
      <c r="A463" s="521"/>
      <c r="B463" s="639"/>
      <c r="C463" s="521">
        <v>1000</v>
      </c>
      <c r="D463" s="522">
        <v>10.185</v>
      </c>
      <c r="E463" s="523">
        <v>0</v>
      </c>
      <c r="F463" s="523">
        <f t="shared" si="114"/>
        <v>10185</v>
      </c>
      <c r="G463" s="520">
        <v>42536</v>
      </c>
      <c r="H463" s="539">
        <v>400</v>
      </c>
      <c r="I463" s="522">
        <v>13.43</v>
      </c>
      <c r="J463" s="523">
        <v>0.12</v>
      </c>
      <c r="K463" s="523">
        <f t="shared" si="113"/>
        <v>5371.88</v>
      </c>
      <c r="L463" s="521"/>
      <c r="M463" s="523"/>
    </row>
    <row r="464" spans="1:13" ht="15" customHeight="1" x14ac:dyDescent="0.25">
      <c r="A464" s="521"/>
      <c r="B464" s="572">
        <v>42461</v>
      </c>
      <c r="C464" s="521">
        <v>2000</v>
      </c>
      <c r="D464" s="522">
        <v>10.43</v>
      </c>
      <c r="E464" s="523">
        <v>0</v>
      </c>
      <c r="F464" s="523">
        <f t="shared" si="114"/>
        <v>20860</v>
      </c>
      <c r="G464" s="520">
        <v>42537</v>
      </c>
      <c r="H464" s="539">
        <v>400</v>
      </c>
      <c r="I464" s="522">
        <v>12.69</v>
      </c>
      <c r="J464" s="523">
        <v>0.11</v>
      </c>
      <c r="K464" s="523">
        <f t="shared" si="113"/>
        <v>5075.8900000000003</v>
      </c>
      <c r="L464" s="521"/>
      <c r="M464" s="523"/>
    </row>
    <row r="465" spans="1:13" x14ac:dyDescent="0.25">
      <c r="A465" s="521"/>
      <c r="B465" s="572">
        <v>42461</v>
      </c>
      <c r="C465" s="521">
        <v>2000</v>
      </c>
      <c r="D465" s="522">
        <v>10.42</v>
      </c>
      <c r="E465" s="523">
        <v>0</v>
      </c>
      <c r="F465" s="523">
        <f t="shared" si="114"/>
        <v>20840</v>
      </c>
      <c r="G465" s="520">
        <v>42538</v>
      </c>
      <c r="H465" s="539">
        <v>500</v>
      </c>
      <c r="I465" s="522">
        <v>13.34</v>
      </c>
      <c r="J465" s="523">
        <v>0.15</v>
      </c>
      <c r="K465" s="523">
        <f t="shared" si="113"/>
        <v>6669.85</v>
      </c>
      <c r="L465" s="521"/>
      <c r="M465" s="523"/>
    </row>
    <row r="466" spans="1:13" ht="45" x14ac:dyDescent="0.25">
      <c r="A466" s="521"/>
      <c r="B466" s="572">
        <v>42465</v>
      </c>
      <c r="C466" s="521">
        <v>100</v>
      </c>
      <c r="D466" s="522">
        <v>10.4</v>
      </c>
      <c r="E466" s="523">
        <v>0</v>
      </c>
      <c r="F466" s="523">
        <f t="shared" si="114"/>
        <v>1040</v>
      </c>
      <c r="G466" s="641" t="s">
        <v>221</v>
      </c>
      <c r="H466" s="539">
        <v>500</v>
      </c>
      <c r="I466" s="522">
        <v>13.91</v>
      </c>
      <c r="J466" s="523">
        <v>0.15</v>
      </c>
      <c r="K466" s="523">
        <f t="shared" si="113"/>
        <v>6954.85</v>
      </c>
      <c r="L466" s="521"/>
      <c r="M466" s="523"/>
    </row>
    <row r="467" spans="1:13" x14ac:dyDescent="0.25">
      <c r="A467" s="521"/>
      <c r="B467" s="572">
        <v>42471</v>
      </c>
      <c r="C467" s="521">
        <v>500</v>
      </c>
      <c r="D467" s="522">
        <v>11.77</v>
      </c>
      <c r="E467" s="523">
        <v>0</v>
      </c>
      <c r="F467" s="523">
        <f t="shared" si="114"/>
        <v>5885</v>
      </c>
      <c r="G467" s="641"/>
      <c r="H467" s="539">
        <v>600</v>
      </c>
      <c r="I467" s="522">
        <v>14.36</v>
      </c>
      <c r="J467" s="523">
        <v>0.19</v>
      </c>
      <c r="K467" s="523">
        <f t="shared" si="113"/>
        <v>8615.81</v>
      </c>
      <c r="L467" s="521"/>
      <c r="M467" s="523"/>
    </row>
    <row r="468" spans="1:13" x14ac:dyDescent="0.25">
      <c r="A468" s="521"/>
      <c r="B468" s="572">
        <v>42471</v>
      </c>
      <c r="C468" s="521">
        <v>500</v>
      </c>
      <c r="D468" s="522">
        <v>11.55</v>
      </c>
      <c r="E468" s="523">
        <v>0</v>
      </c>
      <c r="F468" s="523">
        <f t="shared" si="114"/>
        <v>5775</v>
      </c>
      <c r="G468" s="641"/>
      <c r="H468" s="539">
        <v>500</v>
      </c>
      <c r="I468" s="522">
        <v>14.65</v>
      </c>
      <c r="J468" s="523">
        <v>0.16</v>
      </c>
      <c r="K468" s="523">
        <f t="shared" si="113"/>
        <v>7324.84</v>
      </c>
      <c r="L468" s="521"/>
      <c r="M468" s="523"/>
    </row>
    <row r="469" spans="1:13" x14ac:dyDescent="0.25">
      <c r="A469" s="521"/>
      <c r="B469" s="572">
        <v>42472</v>
      </c>
      <c r="C469" s="521">
        <v>610</v>
      </c>
      <c r="D469" s="522">
        <v>12.95</v>
      </c>
      <c r="E469" s="523">
        <v>0</v>
      </c>
      <c r="F469" s="523">
        <f t="shared" si="114"/>
        <v>7899.5</v>
      </c>
      <c r="G469" s="520">
        <v>42542</v>
      </c>
      <c r="H469" s="539">
        <v>500</v>
      </c>
      <c r="I469" s="522">
        <v>14.95</v>
      </c>
      <c r="J469" s="523">
        <v>0.16</v>
      </c>
      <c r="K469" s="523">
        <f t="shared" si="113"/>
        <v>7474.84</v>
      </c>
      <c r="L469" s="521"/>
      <c r="M469" s="523"/>
    </row>
    <row r="470" spans="1:13" x14ac:dyDescent="0.25">
      <c r="A470" s="521"/>
      <c r="B470" s="572">
        <v>42473</v>
      </c>
      <c r="C470" s="521">
        <v>970</v>
      </c>
      <c r="D470" s="522">
        <v>12.76</v>
      </c>
      <c r="E470" s="523">
        <v>4.0999999999999996</v>
      </c>
      <c r="F470" s="523">
        <f t="shared" si="114"/>
        <v>12381.3</v>
      </c>
      <c r="G470" s="520">
        <v>42542</v>
      </c>
      <c r="H470" s="539">
        <v>378</v>
      </c>
      <c r="I470" s="522">
        <v>15.2</v>
      </c>
      <c r="J470" s="523">
        <v>0.13</v>
      </c>
      <c r="K470" s="523">
        <f t="shared" si="113"/>
        <v>5745.4699999999993</v>
      </c>
      <c r="L470" s="521"/>
      <c r="M470" s="523"/>
    </row>
    <row r="471" spans="1:13" x14ac:dyDescent="0.25">
      <c r="A471" s="521"/>
      <c r="B471" s="572">
        <v>42474</v>
      </c>
      <c r="C471" s="521">
        <v>420</v>
      </c>
      <c r="D471" s="522">
        <v>12.755000000000001</v>
      </c>
      <c r="E471" s="523">
        <v>0.34</v>
      </c>
      <c r="F471" s="523">
        <f t="shared" si="114"/>
        <v>5357.4400000000005</v>
      </c>
      <c r="G471" s="521"/>
      <c r="H471" s="539"/>
      <c r="I471" s="522"/>
      <c r="J471" s="523"/>
      <c r="K471" s="523"/>
      <c r="L471" s="521"/>
      <c r="M471" s="523"/>
    </row>
    <row r="472" spans="1:13" x14ac:dyDescent="0.25">
      <c r="A472" s="521"/>
      <c r="B472" s="572">
        <v>42475</v>
      </c>
      <c r="C472" s="521">
        <v>500</v>
      </c>
      <c r="D472" s="522">
        <v>13.02</v>
      </c>
      <c r="E472" s="523">
        <v>-1.75</v>
      </c>
      <c r="F472" s="523">
        <f t="shared" si="114"/>
        <v>6508.25</v>
      </c>
      <c r="G472" s="521"/>
      <c r="H472" s="539"/>
      <c r="I472" s="522"/>
      <c r="J472" s="523"/>
      <c r="K472" s="523"/>
      <c r="L472" s="521"/>
      <c r="M472" s="523"/>
    </row>
    <row r="473" spans="1:13" ht="15" customHeight="1" x14ac:dyDescent="0.25">
      <c r="A473" s="521"/>
      <c r="B473" s="572">
        <v>42485</v>
      </c>
      <c r="C473" s="521">
        <v>500</v>
      </c>
      <c r="D473" s="522">
        <v>13.95</v>
      </c>
      <c r="E473" s="523">
        <v>0</v>
      </c>
      <c r="F473" s="523">
        <f t="shared" si="114"/>
        <v>6975</v>
      </c>
      <c r="G473" s="521"/>
      <c r="H473" s="539"/>
      <c r="I473" s="522"/>
      <c r="J473" s="523"/>
      <c r="K473" s="523"/>
      <c r="L473" s="521"/>
      <c r="M473" s="523"/>
    </row>
    <row r="474" spans="1:13" x14ac:dyDescent="0.25">
      <c r="A474" s="521"/>
      <c r="B474" s="572">
        <v>42487</v>
      </c>
      <c r="C474" s="521">
        <v>600</v>
      </c>
      <c r="D474" s="522">
        <v>14.63</v>
      </c>
      <c r="E474" s="523">
        <v>0</v>
      </c>
      <c r="F474" s="523">
        <f t="shared" si="114"/>
        <v>8778</v>
      </c>
      <c r="G474" s="521"/>
      <c r="H474" s="539"/>
      <c r="I474" s="522"/>
      <c r="J474" s="523"/>
      <c r="K474" s="523"/>
      <c r="L474" s="521"/>
      <c r="M474" s="523"/>
    </row>
    <row r="475" spans="1:13" x14ac:dyDescent="0.25">
      <c r="A475" s="521"/>
      <c r="B475" s="572">
        <v>42488</v>
      </c>
      <c r="C475" s="521">
        <v>500</v>
      </c>
      <c r="D475" s="522">
        <v>14.52</v>
      </c>
      <c r="E475" s="523">
        <v>0</v>
      </c>
      <c r="F475" s="523">
        <f t="shared" si="114"/>
        <v>7260</v>
      </c>
      <c r="G475" s="521"/>
      <c r="H475" s="539"/>
      <c r="I475" s="522"/>
      <c r="J475" s="523"/>
      <c r="K475" s="523"/>
      <c r="L475" s="521"/>
      <c r="M475" s="523"/>
    </row>
    <row r="476" spans="1:13" ht="30" x14ac:dyDescent="0.25">
      <c r="A476" s="642" t="s">
        <v>199</v>
      </c>
      <c r="B476" s="572">
        <v>42489</v>
      </c>
      <c r="C476" s="521">
        <v>500</v>
      </c>
      <c r="D476" s="522">
        <v>14.35</v>
      </c>
      <c r="E476" s="523">
        <v>0</v>
      </c>
      <c r="F476" s="523">
        <f t="shared" si="114"/>
        <v>7175</v>
      </c>
      <c r="G476" s="521"/>
      <c r="H476" s="539"/>
      <c r="I476" s="522"/>
      <c r="J476" s="523"/>
      <c r="K476" s="523"/>
      <c r="L476" s="521"/>
      <c r="M476" s="523"/>
    </row>
    <row r="477" spans="1:13" x14ac:dyDescent="0.25">
      <c r="A477" s="642"/>
      <c r="B477" s="572">
        <v>42489</v>
      </c>
      <c r="C477" s="521">
        <v>500</v>
      </c>
      <c r="D477" s="522">
        <v>14.15</v>
      </c>
      <c r="E477" s="523">
        <v>0</v>
      </c>
      <c r="F477" s="523">
        <f t="shared" si="114"/>
        <v>7075</v>
      </c>
      <c r="G477" s="521"/>
      <c r="H477" s="539"/>
      <c r="I477" s="522"/>
      <c r="J477" s="523"/>
      <c r="K477" s="523"/>
      <c r="L477" s="521"/>
      <c r="M477" s="523"/>
    </row>
    <row r="478" spans="1:13" x14ac:dyDescent="0.25">
      <c r="A478" s="642"/>
      <c r="B478" s="572">
        <v>42489</v>
      </c>
      <c r="C478" s="521">
        <v>1000</v>
      </c>
      <c r="D478" s="522">
        <v>13.92</v>
      </c>
      <c r="E478" s="523">
        <v>0</v>
      </c>
      <c r="F478" s="523">
        <f t="shared" si="114"/>
        <v>13920</v>
      </c>
      <c r="G478" s="521"/>
      <c r="H478" s="539"/>
      <c r="I478" s="522"/>
      <c r="J478" s="523"/>
      <c r="K478" s="523"/>
      <c r="L478" s="521"/>
      <c r="M478" s="523"/>
    </row>
    <row r="479" spans="1:13" x14ac:dyDescent="0.25">
      <c r="A479" s="642"/>
      <c r="B479" s="572">
        <v>42489</v>
      </c>
      <c r="C479" s="521">
        <v>1000</v>
      </c>
      <c r="D479" s="522">
        <v>13.8</v>
      </c>
      <c r="E479" s="523">
        <v>0</v>
      </c>
      <c r="F479" s="523">
        <f t="shared" si="114"/>
        <v>13800</v>
      </c>
      <c r="G479" s="521"/>
      <c r="H479" s="539"/>
      <c r="I479" s="522"/>
      <c r="J479" s="523"/>
      <c r="K479" s="523"/>
      <c r="L479" s="521"/>
      <c r="M479" s="523"/>
    </row>
    <row r="480" spans="1:13" x14ac:dyDescent="0.25">
      <c r="A480" s="521"/>
      <c r="B480" s="572">
        <v>42492</v>
      </c>
      <c r="C480" s="521">
        <v>1500</v>
      </c>
      <c r="D480" s="522">
        <v>13.25</v>
      </c>
      <c r="E480" s="523">
        <v>0</v>
      </c>
      <c r="F480" s="523">
        <f t="shared" si="114"/>
        <v>19875</v>
      </c>
      <c r="G480" s="521"/>
      <c r="H480" s="539"/>
      <c r="I480" s="522"/>
      <c r="J480" s="523"/>
      <c r="K480" s="523"/>
      <c r="L480" s="521"/>
      <c r="M480" s="523"/>
    </row>
    <row r="481" spans="1:13" x14ac:dyDescent="0.25">
      <c r="A481" s="521"/>
      <c r="B481" s="572">
        <v>42492</v>
      </c>
      <c r="C481" s="521">
        <v>500</v>
      </c>
      <c r="D481" s="522">
        <v>13.6</v>
      </c>
      <c r="E481" s="523">
        <v>0</v>
      </c>
      <c r="F481" s="523">
        <f t="shared" si="114"/>
        <v>6800</v>
      </c>
      <c r="G481" s="521"/>
      <c r="H481" s="539"/>
      <c r="I481" s="522"/>
      <c r="J481" s="523"/>
      <c r="K481" s="523"/>
      <c r="L481" s="521"/>
      <c r="M481" s="523"/>
    </row>
    <row r="482" spans="1:13" x14ac:dyDescent="0.25">
      <c r="A482" s="521"/>
      <c r="B482" s="572">
        <v>42493</v>
      </c>
      <c r="C482" s="521">
        <v>322</v>
      </c>
      <c r="D482" s="522">
        <v>12.85</v>
      </c>
      <c r="E482" s="523">
        <v>0</v>
      </c>
      <c r="F482" s="523">
        <f t="shared" si="114"/>
        <v>4137.7</v>
      </c>
      <c r="G482" s="521"/>
      <c r="H482" s="539"/>
      <c r="I482" s="522"/>
      <c r="J482" s="523"/>
      <c r="K482" s="523"/>
      <c r="L482" s="521"/>
      <c r="M482" s="523"/>
    </row>
    <row r="483" spans="1:13" ht="30" x14ac:dyDescent="0.25">
      <c r="A483" s="626" t="s">
        <v>203</v>
      </c>
      <c r="B483" s="572">
        <v>42494</v>
      </c>
      <c r="C483" s="521">
        <v>1000</v>
      </c>
      <c r="D483" s="522">
        <v>12.25</v>
      </c>
      <c r="E483" s="523">
        <v>0</v>
      </c>
      <c r="F483" s="523">
        <f t="shared" si="114"/>
        <v>12250</v>
      </c>
      <c r="G483" s="521"/>
      <c r="H483" s="539"/>
      <c r="I483" s="522"/>
      <c r="J483" s="523"/>
      <c r="K483" s="523"/>
      <c r="L483" s="521"/>
      <c r="M483" s="523"/>
    </row>
    <row r="484" spans="1:13" x14ac:dyDescent="0.25">
      <c r="A484" s="626"/>
      <c r="B484" s="572">
        <v>42494</v>
      </c>
      <c r="C484" s="521">
        <v>500</v>
      </c>
      <c r="D484" s="522">
        <v>12.53</v>
      </c>
      <c r="E484" s="523">
        <v>0</v>
      </c>
      <c r="F484" s="523">
        <f t="shared" si="114"/>
        <v>6265</v>
      </c>
      <c r="G484" s="521"/>
      <c r="H484" s="539"/>
      <c r="I484" s="522"/>
      <c r="J484" s="523"/>
      <c r="K484" s="523"/>
      <c r="L484" s="521"/>
      <c r="M484" s="523"/>
    </row>
    <row r="485" spans="1:13" x14ac:dyDescent="0.25">
      <c r="A485" s="626"/>
      <c r="B485" s="572">
        <v>42494</v>
      </c>
      <c r="C485" s="521">
        <v>500</v>
      </c>
      <c r="D485" s="522">
        <v>12.65</v>
      </c>
      <c r="E485" s="523">
        <v>0</v>
      </c>
      <c r="F485" s="523">
        <f t="shared" si="114"/>
        <v>6325</v>
      </c>
      <c r="G485" s="521"/>
      <c r="H485" s="539"/>
      <c r="I485" s="522"/>
      <c r="J485" s="523"/>
      <c r="K485" s="523"/>
      <c r="L485" s="521"/>
      <c r="M485" s="523"/>
    </row>
    <row r="486" spans="1:13" x14ac:dyDescent="0.25">
      <c r="A486" s="521"/>
      <c r="B486" s="572">
        <v>42495</v>
      </c>
      <c r="C486" s="521">
        <v>1000</v>
      </c>
      <c r="D486" s="522">
        <v>11.95</v>
      </c>
      <c r="E486" s="523">
        <v>0</v>
      </c>
      <c r="F486" s="523">
        <f t="shared" si="114"/>
        <v>11950</v>
      </c>
      <c r="G486" s="521"/>
      <c r="H486" s="539"/>
      <c r="I486" s="522"/>
      <c r="J486" s="523"/>
      <c r="K486" s="523"/>
      <c r="L486" s="521"/>
      <c r="M486" s="523"/>
    </row>
    <row r="487" spans="1:13" x14ac:dyDescent="0.25">
      <c r="A487" s="521"/>
      <c r="B487" s="572">
        <v>42499</v>
      </c>
      <c r="C487" s="521">
        <v>500</v>
      </c>
      <c r="D487" s="522">
        <v>11.48</v>
      </c>
      <c r="E487" s="523">
        <v>0</v>
      </c>
      <c r="F487" s="523">
        <f t="shared" si="114"/>
        <v>5740</v>
      </c>
      <c r="G487" s="521"/>
      <c r="H487" s="539"/>
      <c r="I487" s="522"/>
      <c r="J487" s="523"/>
      <c r="K487" s="523"/>
      <c r="L487" s="521"/>
      <c r="M487" s="523"/>
    </row>
    <row r="488" spans="1:13" x14ac:dyDescent="0.25">
      <c r="A488" s="521"/>
      <c r="B488" s="572">
        <v>42499</v>
      </c>
      <c r="C488" s="521">
        <v>500</v>
      </c>
      <c r="D488" s="522">
        <v>11.32</v>
      </c>
      <c r="E488" s="523">
        <v>0</v>
      </c>
      <c r="F488" s="523">
        <f t="shared" si="114"/>
        <v>5660</v>
      </c>
      <c r="G488" s="521"/>
      <c r="H488" s="539"/>
      <c r="I488" s="522"/>
      <c r="J488" s="523"/>
      <c r="K488" s="523"/>
      <c r="L488" s="521"/>
      <c r="M488" s="523"/>
    </row>
    <row r="489" spans="1:13" ht="30" x14ac:dyDescent="0.25">
      <c r="A489" s="642" t="s">
        <v>206</v>
      </c>
      <c r="B489" s="572">
        <v>42502</v>
      </c>
      <c r="C489" s="521">
        <v>500</v>
      </c>
      <c r="D489" s="522">
        <v>12.38</v>
      </c>
      <c r="E489" s="523">
        <v>0</v>
      </c>
      <c r="F489" s="523">
        <f t="shared" si="114"/>
        <v>6190</v>
      </c>
      <c r="G489" s="521"/>
      <c r="H489" s="539"/>
      <c r="I489" s="522"/>
      <c r="J489" s="523"/>
      <c r="K489" s="523"/>
      <c r="L489" s="521"/>
      <c r="M489" s="523"/>
    </row>
    <row r="490" spans="1:13" x14ac:dyDescent="0.25">
      <c r="A490" s="642"/>
      <c r="B490" s="572">
        <v>42502</v>
      </c>
      <c r="C490" s="521">
        <v>500</v>
      </c>
      <c r="D490" s="522">
        <v>12.3</v>
      </c>
      <c r="E490" s="523">
        <v>0</v>
      </c>
      <c r="F490" s="523">
        <f t="shared" si="114"/>
        <v>6150</v>
      </c>
      <c r="G490" s="521"/>
      <c r="H490" s="539"/>
      <c r="I490" s="522"/>
      <c r="J490" s="523"/>
      <c r="K490" s="523"/>
      <c r="L490" s="521"/>
      <c r="M490" s="523"/>
    </row>
    <row r="491" spans="1:13" x14ac:dyDescent="0.25">
      <c r="A491" s="642"/>
      <c r="B491" s="572">
        <v>42502</v>
      </c>
      <c r="C491" s="521">
        <v>500</v>
      </c>
      <c r="D491" s="522">
        <v>12.23</v>
      </c>
      <c r="E491" s="523">
        <v>0</v>
      </c>
      <c r="F491" s="523">
        <f t="shared" si="114"/>
        <v>6115</v>
      </c>
      <c r="G491" s="521"/>
      <c r="H491" s="539"/>
      <c r="I491" s="522"/>
      <c r="J491" s="523"/>
      <c r="K491" s="523"/>
      <c r="L491" s="521"/>
      <c r="M491" s="523"/>
    </row>
    <row r="492" spans="1:13" x14ac:dyDescent="0.25">
      <c r="A492" s="521"/>
      <c r="B492" s="572">
        <v>42503</v>
      </c>
      <c r="C492" s="521">
        <v>500</v>
      </c>
      <c r="D492" s="522">
        <v>12.41</v>
      </c>
      <c r="E492" s="523">
        <v>0</v>
      </c>
      <c r="F492" s="523">
        <f t="shared" si="114"/>
        <v>6205</v>
      </c>
      <c r="G492" s="521"/>
      <c r="H492" s="539"/>
      <c r="I492" s="522"/>
      <c r="J492" s="523"/>
      <c r="K492" s="523"/>
      <c r="L492" s="521"/>
      <c r="M492" s="523"/>
    </row>
    <row r="493" spans="1:13" x14ac:dyDescent="0.25">
      <c r="A493" s="521"/>
      <c r="B493" s="572">
        <v>42506</v>
      </c>
      <c r="C493" s="521">
        <v>300</v>
      </c>
      <c r="D493" s="522">
        <v>12.8</v>
      </c>
      <c r="E493" s="523">
        <v>0</v>
      </c>
      <c r="F493" s="523">
        <f t="shared" si="114"/>
        <v>3840</v>
      </c>
      <c r="G493" s="521"/>
      <c r="H493" s="539"/>
      <c r="I493" s="522"/>
      <c r="J493" s="523"/>
      <c r="K493" s="523"/>
      <c r="L493" s="521"/>
      <c r="M493" s="523"/>
    </row>
    <row r="494" spans="1:13" x14ac:dyDescent="0.25">
      <c r="A494" s="521"/>
      <c r="B494" s="572">
        <v>42514</v>
      </c>
      <c r="C494" s="521">
        <v>500</v>
      </c>
      <c r="D494" s="522">
        <v>13.02</v>
      </c>
      <c r="E494" s="523">
        <v>-1.65</v>
      </c>
      <c r="F494" s="523">
        <f t="shared" ref="F494:F557" si="115">C494*D494+E494</f>
        <v>6508.35</v>
      </c>
      <c r="G494" s="521"/>
      <c r="H494" s="539"/>
      <c r="I494" s="522"/>
      <c r="J494" s="523"/>
      <c r="K494" s="523"/>
      <c r="L494" s="521"/>
      <c r="M494" s="523"/>
    </row>
    <row r="495" spans="1:13" x14ac:dyDescent="0.25">
      <c r="A495" s="521"/>
      <c r="B495" s="572">
        <v>42515</v>
      </c>
      <c r="C495" s="521">
        <v>500</v>
      </c>
      <c r="D495" s="522">
        <v>13.45</v>
      </c>
      <c r="E495" s="523">
        <v>1</v>
      </c>
      <c r="F495" s="523">
        <f t="shared" si="115"/>
        <v>6726</v>
      </c>
      <c r="G495" s="521"/>
      <c r="H495" s="539"/>
      <c r="I495" s="522"/>
      <c r="J495" s="523"/>
      <c r="K495" s="523"/>
      <c r="L495" s="521"/>
      <c r="M495" s="523"/>
    </row>
    <row r="496" spans="1:13" x14ac:dyDescent="0.25">
      <c r="A496" s="521"/>
      <c r="B496" s="572">
        <v>42516</v>
      </c>
      <c r="C496" s="521">
        <v>500</v>
      </c>
      <c r="D496" s="522">
        <v>13.28</v>
      </c>
      <c r="E496" s="523">
        <v>-1.04</v>
      </c>
      <c r="F496" s="523">
        <f t="shared" si="115"/>
        <v>6638.96</v>
      </c>
      <c r="G496" s="521"/>
      <c r="H496" s="539"/>
      <c r="I496" s="522"/>
      <c r="J496" s="523"/>
      <c r="K496" s="523"/>
      <c r="L496" s="521"/>
      <c r="M496" s="523"/>
    </row>
    <row r="497" spans="1:13" x14ac:dyDescent="0.25">
      <c r="A497" s="521"/>
      <c r="B497" s="572">
        <v>42517</v>
      </c>
      <c r="C497" s="521">
        <v>500</v>
      </c>
      <c r="D497" s="522">
        <v>12.79</v>
      </c>
      <c r="E497" s="523">
        <v>0</v>
      </c>
      <c r="F497" s="523">
        <f t="shared" si="115"/>
        <v>6395</v>
      </c>
      <c r="G497" s="521"/>
      <c r="H497" s="539"/>
      <c r="I497" s="522"/>
      <c r="J497" s="523"/>
      <c r="K497" s="523"/>
      <c r="L497" s="521"/>
      <c r="M497" s="523"/>
    </row>
    <row r="498" spans="1:13" ht="15" customHeight="1" x14ac:dyDescent="0.25">
      <c r="A498" s="521"/>
      <c r="B498" s="572">
        <v>42524</v>
      </c>
      <c r="C498" s="521">
        <v>400</v>
      </c>
      <c r="D498" s="522">
        <v>13.28</v>
      </c>
      <c r="E498" s="523">
        <v>0</v>
      </c>
      <c r="F498" s="523">
        <f t="shared" si="115"/>
        <v>5312</v>
      </c>
      <c r="G498" s="521"/>
      <c r="H498" s="539"/>
      <c r="I498" s="522"/>
      <c r="J498" s="523"/>
      <c r="K498" s="523"/>
      <c r="L498" s="521"/>
      <c r="M498" s="523"/>
    </row>
    <row r="499" spans="1:13" x14ac:dyDescent="0.25">
      <c r="A499" s="521"/>
      <c r="B499" s="572">
        <v>42529</v>
      </c>
      <c r="C499" s="521">
        <v>500</v>
      </c>
      <c r="D499" s="522">
        <v>14.59</v>
      </c>
      <c r="E499" s="523">
        <v>0</v>
      </c>
      <c r="F499" s="523">
        <f t="shared" si="115"/>
        <v>7295</v>
      </c>
      <c r="G499" s="521"/>
      <c r="H499" s="539"/>
      <c r="I499" s="522"/>
      <c r="J499" s="523"/>
      <c r="K499" s="523"/>
      <c r="L499" s="521"/>
      <c r="M499" s="523"/>
    </row>
    <row r="500" spans="1:13" x14ac:dyDescent="0.25">
      <c r="A500" s="521"/>
      <c r="B500" s="572">
        <v>42531</v>
      </c>
      <c r="C500" s="521">
        <v>800</v>
      </c>
      <c r="D500" s="522">
        <v>13.79</v>
      </c>
      <c r="E500" s="523">
        <v>0</v>
      </c>
      <c r="F500" s="523">
        <f t="shared" si="115"/>
        <v>11032</v>
      </c>
      <c r="G500" s="521"/>
      <c r="H500" s="539"/>
      <c r="I500" s="522"/>
      <c r="J500" s="523"/>
      <c r="K500" s="523"/>
      <c r="L500" s="521"/>
      <c r="M500" s="523"/>
    </row>
    <row r="501" spans="1:13" x14ac:dyDescent="0.25">
      <c r="A501" s="521"/>
      <c r="B501" s="572">
        <v>42531</v>
      </c>
      <c r="C501" s="521">
        <v>300</v>
      </c>
      <c r="D501" s="522">
        <v>13.4</v>
      </c>
      <c r="E501" s="523">
        <v>0</v>
      </c>
      <c r="F501" s="523">
        <f t="shared" si="115"/>
        <v>4020</v>
      </c>
      <c r="G501" s="521"/>
      <c r="H501" s="539"/>
      <c r="I501" s="522"/>
      <c r="J501" s="523"/>
      <c r="K501" s="523"/>
      <c r="L501" s="521"/>
      <c r="M501" s="523"/>
    </row>
    <row r="502" spans="1:13" x14ac:dyDescent="0.25">
      <c r="A502" s="521"/>
      <c r="B502" s="572">
        <v>42535</v>
      </c>
      <c r="C502" s="521">
        <v>400</v>
      </c>
      <c r="D502" s="522">
        <v>12.85</v>
      </c>
      <c r="E502" s="523">
        <v>0</v>
      </c>
      <c r="F502" s="523">
        <f t="shared" si="115"/>
        <v>5140</v>
      </c>
      <c r="G502" s="521"/>
      <c r="H502" s="539"/>
      <c r="I502" s="522"/>
      <c r="J502" s="523"/>
      <c r="K502" s="523"/>
      <c r="L502" s="521"/>
      <c r="M502" s="523"/>
    </row>
    <row r="503" spans="1:13" x14ac:dyDescent="0.25">
      <c r="A503" s="521"/>
      <c r="B503" s="572">
        <v>42537</v>
      </c>
      <c r="C503" s="521">
        <v>400</v>
      </c>
      <c r="D503" s="522">
        <v>12.43</v>
      </c>
      <c r="E503" s="523">
        <v>-0.04</v>
      </c>
      <c r="F503" s="523">
        <f t="shared" si="115"/>
        <v>4971.96</v>
      </c>
      <c r="G503" s="521"/>
      <c r="H503" s="539"/>
      <c r="I503" s="522"/>
      <c r="J503" s="523"/>
      <c r="K503" s="523"/>
      <c r="L503" s="521"/>
      <c r="M503" s="523"/>
    </row>
    <row r="504" spans="1:13" x14ac:dyDescent="0.25">
      <c r="A504" s="521"/>
      <c r="B504" s="572">
        <v>42538</v>
      </c>
      <c r="C504" s="521">
        <v>500</v>
      </c>
      <c r="D504" s="522">
        <v>13.14</v>
      </c>
      <c r="E504" s="523">
        <v>0</v>
      </c>
      <c r="F504" s="523">
        <f t="shared" si="115"/>
        <v>6570</v>
      </c>
      <c r="G504" s="521"/>
      <c r="H504" s="539"/>
      <c r="I504" s="522"/>
      <c r="J504" s="523"/>
      <c r="K504" s="523"/>
      <c r="L504" s="521"/>
      <c r="M504" s="523"/>
    </row>
    <row r="505" spans="1:13" x14ac:dyDescent="0.25">
      <c r="A505" s="521"/>
      <c r="B505" s="572">
        <v>42543</v>
      </c>
      <c r="C505" s="521">
        <v>500</v>
      </c>
      <c r="D505" s="522">
        <v>14.75</v>
      </c>
      <c r="E505" s="523">
        <v>0</v>
      </c>
      <c r="F505" s="523">
        <f t="shared" si="115"/>
        <v>7375</v>
      </c>
      <c r="G505" s="520">
        <v>42544</v>
      </c>
      <c r="H505" s="539">
        <v>500</v>
      </c>
      <c r="I505" s="522">
        <v>15.24</v>
      </c>
      <c r="J505" s="523">
        <v>0.17</v>
      </c>
      <c r="K505" s="523">
        <f>H505*I505-J505</f>
        <v>7619.83</v>
      </c>
      <c r="L505" s="521"/>
      <c r="M505" s="523"/>
    </row>
    <row r="506" spans="1:13" x14ac:dyDescent="0.25">
      <c r="A506" s="521"/>
      <c r="B506" s="572">
        <v>42545</v>
      </c>
      <c r="C506" s="521">
        <v>878</v>
      </c>
      <c r="D506" s="522">
        <v>14.41</v>
      </c>
      <c r="E506" s="523">
        <v>0</v>
      </c>
      <c r="F506" s="523">
        <f t="shared" si="115"/>
        <v>12651.98</v>
      </c>
      <c r="G506" s="521"/>
      <c r="H506" s="539"/>
      <c r="I506" s="522"/>
      <c r="J506" s="523"/>
      <c r="K506" s="523"/>
      <c r="L506" s="521"/>
      <c r="M506" s="523"/>
    </row>
    <row r="507" spans="1:13" x14ac:dyDescent="0.25">
      <c r="A507" s="521"/>
      <c r="B507" s="572">
        <v>42545</v>
      </c>
      <c r="C507" s="521">
        <v>335</v>
      </c>
      <c r="D507" s="522">
        <v>14.08</v>
      </c>
      <c r="E507" s="523">
        <v>0</v>
      </c>
      <c r="F507" s="523">
        <f t="shared" si="115"/>
        <v>4716.8</v>
      </c>
      <c r="G507" s="521"/>
      <c r="H507" s="539"/>
      <c r="I507" s="522"/>
      <c r="J507" s="523"/>
      <c r="K507" s="523"/>
      <c r="L507" s="521"/>
      <c r="M507" s="523"/>
    </row>
    <row r="508" spans="1:13" x14ac:dyDescent="0.25">
      <c r="A508" s="521"/>
      <c r="B508" s="572">
        <v>42548</v>
      </c>
      <c r="C508" s="521">
        <v>965</v>
      </c>
      <c r="D508" s="522">
        <v>13.81</v>
      </c>
      <c r="E508" s="523">
        <v>0</v>
      </c>
      <c r="F508" s="523">
        <f t="shared" si="115"/>
        <v>13326.65</v>
      </c>
      <c r="G508" s="521"/>
      <c r="H508" s="539"/>
      <c r="I508" s="522"/>
      <c r="J508" s="523"/>
      <c r="K508" s="523"/>
      <c r="L508" s="521"/>
      <c r="M508" s="523"/>
    </row>
    <row r="509" spans="1:13" x14ac:dyDescent="0.25">
      <c r="A509" s="521"/>
      <c r="B509" s="572">
        <v>42548</v>
      </c>
      <c r="C509" s="521">
        <v>300</v>
      </c>
      <c r="D509" s="522">
        <v>13.58</v>
      </c>
      <c r="E509" s="523">
        <v>0</v>
      </c>
      <c r="F509" s="523">
        <f t="shared" si="115"/>
        <v>4074</v>
      </c>
      <c r="G509" s="520">
        <v>42549</v>
      </c>
      <c r="H509" s="539">
        <v>1100</v>
      </c>
      <c r="I509" s="522">
        <v>14.68</v>
      </c>
      <c r="J509" s="523">
        <v>0.35</v>
      </c>
      <c r="K509" s="523">
        <f t="shared" ref="K509:K594" si="116">H509*I509-J509</f>
        <v>16147.65</v>
      </c>
      <c r="L509" s="521"/>
      <c r="M509" s="523"/>
    </row>
    <row r="510" spans="1:13" ht="45" x14ac:dyDescent="0.25">
      <c r="A510" s="521"/>
      <c r="B510" s="572">
        <v>42556</v>
      </c>
      <c r="C510" s="521">
        <v>2178</v>
      </c>
      <c r="D510" s="522">
        <v>15.08</v>
      </c>
      <c r="E510" s="523">
        <v>0</v>
      </c>
      <c r="F510" s="523">
        <f t="shared" si="115"/>
        <v>32844.239999999998</v>
      </c>
      <c r="G510" s="638" t="s">
        <v>230</v>
      </c>
      <c r="H510" s="539">
        <v>500</v>
      </c>
      <c r="I510" s="522">
        <v>15.48</v>
      </c>
      <c r="J510" s="523">
        <v>0.17</v>
      </c>
      <c r="K510" s="523">
        <f t="shared" si="116"/>
        <v>7739.83</v>
      </c>
      <c r="L510" s="521"/>
      <c r="M510" s="523"/>
    </row>
    <row r="511" spans="1:13" x14ac:dyDescent="0.25">
      <c r="A511" s="521"/>
      <c r="B511" s="572">
        <v>42556</v>
      </c>
      <c r="C511" s="521">
        <v>500</v>
      </c>
      <c r="D511" s="522">
        <v>14.62</v>
      </c>
      <c r="E511" s="523">
        <v>0</v>
      </c>
      <c r="F511" s="523">
        <f t="shared" si="115"/>
        <v>7310</v>
      </c>
      <c r="G511" s="638"/>
      <c r="H511" s="539">
        <v>378</v>
      </c>
      <c r="I511" s="522">
        <v>15.65</v>
      </c>
      <c r="J511" s="523">
        <v>0.13</v>
      </c>
      <c r="K511" s="523">
        <f t="shared" si="116"/>
        <v>5915.57</v>
      </c>
      <c r="L511" s="521"/>
      <c r="M511" s="523"/>
    </row>
    <row r="512" spans="1:13" x14ac:dyDescent="0.25">
      <c r="A512" s="521"/>
      <c r="B512" s="572">
        <v>42557</v>
      </c>
      <c r="C512" s="521">
        <v>500</v>
      </c>
      <c r="D512" s="522">
        <v>14.78</v>
      </c>
      <c r="E512" s="523">
        <v>0</v>
      </c>
      <c r="F512" s="523">
        <f t="shared" si="115"/>
        <v>7390</v>
      </c>
      <c r="G512" s="638"/>
      <c r="H512" s="539">
        <v>500</v>
      </c>
      <c r="I512" s="522">
        <v>15.51</v>
      </c>
      <c r="J512" s="523">
        <v>0.17</v>
      </c>
      <c r="K512" s="523">
        <f t="shared" si="116"/>
        <v>7754.83</v>
      </c>
      <c r="L512" s="521"/>
      <c r="M512" s="523"/>
    </row>
    <row r="513" spans="1:13" x14ac:dyDescent="0.25">
      <c r="A513" s="521"/>
      <c r="B513" s="624">
        <v>42564</v>
      </c>
      <c r="C513" s="521">
        <v>320</v>
      </c>
      <c r="D513" s="522">
        <v>15.48</v>
      </c>
      <c r="E513" s="523">
        <v>0</v>
      </c>
      <c r="F513" s="523">
        <f t="shared" si="115"/>
        <v>4953.6000000000004</v>
      </c>
      <c r="G513" s="638"/>
      <c r="H513" s="539">
        <v>800</v>
      </c>
      <c r="I513" s="522">
        <v>15.78</v>
      </c>
      <c r="J513" s="523">
        <v>0.28000000000000003</v>
      </c>
      <c r="K513" s="523">
        <f t="shared" si="116"/>
        <v>12623.72</v>
      </c>
      <c r="L513" s="521"/>
      <c r="M513" s="523"/>
    </row>
    <row r="514" spans="1:13" x14ac:dyDescent="0.25">
      <c r="A514" s="625"/>
      <c r="B514" s="624">
        <v>42564</v>
      </c>
      <c r="C514" s="521">
        <v>160</v>
      </c>
      <c r="D514" s="522">
        <v>15.48</v>
      </c>
      <c r="E514" s="523">
        <v>0</v>
      </c>
      <c r="F514" s="523">
        <f t="shared" si="115"/>
        <v>2476.8000000000002</v>
      </c>
      <c r="G514" s="520">
        <v>42557</v>
      </c>
      <c r="H514" s="539">
        <v>500</v>
      </c>
      <c r="I514" s="522">
        <v>14.92</v>
      </c>
      <c r="J514" s="523">
        <v>0.16</v>
      </c>
      <c r="K514" s="523">
        <f t="shared" si="116"/>
        <v>7459.84</v>
      </c>
      <c r="L514" s="521"/>
      <c r="M514" s="523"/>
    </row>
    <row r="515" spans="1:13" x14ac:dyDescent="0.25">
      <c r="A515" s="625"/>
      <c r="B515" s="572">
        <v>42570</v>
      </c>
      <c r="C515" s="521">
        <v>200</v>
      </c>
      <c r="D515" s="522">
        <v>15.18</v>
      </c>
      <c r="E515" s="523">
        <v>0</v>
      </c>
      <c r="F515" s="523">
        <f t="shared" si="115"/>
        <v>3036</v>
      </c>
      <c r="G515" s="520">
        <v>42564</v>
      </c>
      <c r="H515" s="539">
        <v>420</v>
      </c>
      <c r="I515" s="522">
        <v>15.68</v>
      </c>
      <c r="J515" s="523">
        <v>0.14000000000000001</v>
      </c>
      <c r="K515" s="523">
        <f t="shared" si="116"/>
        <v>6585.4599999999991</v>
      </c>
      <c r="L515" s="521"/>
      <c r="M515" s="523"/>
    </row>
    <row r="516" spans="1:13" x14ac:dyDescent="0.25">
      <c r="A516" s="625"/>
      <c r="B516" s="572">
        <v>42570</v>
      </c>
      <c r="C516" s="521">
        <v>200</v>
      </c>
      <c r="D516" s="522">
        <v>14.68</v>
      </c>
      <c r="E516" s="523">
        <v>0</v>
      </c>
      <c r="F516" s="523">
        <f t="shared" si="115"/>
        <v>2936</v>
      </c>
      <c r="G516" s="520">
        <v>42571</v>
      </c>
      <c r="H516" s="539">
        <v>200</v>
      </c>
      <c r="I516" s="522">
        <v>14.82</v>
      </c>
      <c r="J516" s="523">
        <v>0.06</v>
      </c>
      <c r="K516" s="523">
        <f t="shared" si="116"/>
        <v>2963.94</v>
      </c>
      <c r="L516" s="521"/>
      <c r="M516" s="523"/>
    </row>
    <row r="517" spans="1:13" x14ac:dyDescent="0.25">
      <c r="A517" s="521"/>
      <c r="B517" s="572">
        <v>42571</v>
      </c>
      <c r="C517" s="521">
        <v>200</v>
      </c>
      <c r="D517" s="522">
        <v>14.33</v>
      </c>
      <c r="E517" s="523">
        <v>-1</v>
      </c>
      <c r="F517" s="523">
        <f t="shared" si="115"/>
        <v>2865</v>
      </c>
      <c r="G517" s="520">
        <v>42572</v>
      </c>
      <c r="H517" s="539">
        <v>200</v>
      </c>
      <c r="I517" s="522">
        <v>14.8</v>
      </c>
      <c r="J517" s="523">
        <v>0.06</v>
      </c>
      <c r="K517" s="523">
        <f t="shared" si="116"/>
        <v>2959.94</v>
      </c>
      <c r="L517" s="521"/>
      <c r="M517" s="523"/>
    </row>
    <row r="518" spans="1:13" x14ac:dyDescent="0.25">
      <c r="A518" s="521"/>
      <c r="B518" s="572">
        <v>42572</v>
      </c>
      <c r="C518" s="521">
        <v>60</v>
      </c>
      <c r="D518" s="522">
        <v>14.58</v>
      </c>
      <c r="E518" s="523">
        <v>0</v>
      </c>
      <c r="F518" s="523">
        <f t="shared" si="115"/>
        <v>874.8</v>
      </c>
      <c r="G518" s="520">
        <v>42577</v>
      </c>
      <c r="H518" s="539">
        <v>200</v>
      </c>
      <c r="I518" s="522">
        <v>13.78</v>
      </c>
      <c r="J518" s="523">
        <v>0.06</v>
      </c>
      <c r="K518" s="523">
        <f t="shared" si="116"/>
        <v>2755.94</v>
      </c>
      <c r="L518" s="521"/>
      <c r="M518" s="523"/>
    </row>
    <row r="519" spans="1:13" x14ac:dyDescent="0.25">
      <c r="A519" s="521"/>
      <c r="B519" s="572">
        <v>42572</v>
      </c>
      <c r="C519" s="521">
        <v>140</v>
      </c>
      <c r="D519" s="522">
        <v>14.65</v>
      </c>
      <c r="E519" s="523">
        <v>0</v>
      </c>
      <c r="F519" s="523">
        <f t="shared" si="115"/>
        <v>2051</v>
      </c>
      <c r="G519" s="520">
        <v>42580</v>
      </c>
      <c r="H519" s="539">
        <v>200</v>
      </c>
      <c r="I519" s="522">
        <v>13.224</v>
      </c>
      <c r="J519" s="523">
        <v>0.08</v>
      </c>
      <c r="K519" s="523">
        <f t="shared" si="116"/>
        <v>2644.7200000000003</v>
      </c>
      <c r="L519" s="521"/>
      <c r="M519" s="523"/>
    </row>
    <row r="520" spans="1:13" x14ac:dyDescent="0.25">
      <c r="A520" s="521"/>
      <c r="B520" s="572">
        <v>42573</v>
      </c>
      <c r="C520" s="521">
        <v>140</v>
      </c>
      <c r="D520" s="522">
        <v>14.08</v>
      </c>
      <c r="E520" s="523">
        <v>0</v>
      </c>
      <c r="F520" s="523">
        <f t="shared" si="115"/>
        <v>1971.2</v>
      </c>
      <c r="G520" s="520">
        <v>42580</v>
      </c>
      <c r="H520" s="539">
        <v>200</v>
      </c>
      <c r="I520" s="522">
        <v>13.58</v>
      </c>
      <c r="J520" s="523">
        <v>0.06</v>
      </c>
      <c r="K520" s="523">
        <f t="shared" si="116"/>
        <v>2715.94</v>
      </c>
      <c r="L520" s="521"/>
      <c r="M520" s="523"/>
    </row>
    <row r="521" spans="1:13" x14ac:dyDescent="0.25">
      <c r="A521" s="521"/>
      <c r="B521" s="572">
        <v>42576</v>
      </c>
      <c r="C521" s="521">
        <v>200</v>
      </c>
      <c r="D521" s="522">
        <v>13.55</v>
      </c>
      <c r="E521" s="523">
        <v>0</v>
      </c>
      <c r="F521" s="523">
        <f t="shared" si="115"/>
        <v>2710</v>
      </c>
      <c r="G521" s="520">
        <v>42586</v>
      </c>
      <c r="H521" s="539">
        <v>400</v>
      </c>
      <c r="I521" s="522">
        <v>13.78</v>
      </c>
      <c r="J521" s="523">
        <v>0.12</v>
      </c>
      <c r="K521" s="523">
        <f t="shared" si="116"/>
        <v>5511.88</v>
      </c>
      <c r="L521" s="521"/>
      <c r="M521" s="523"/>
    </row>
    <row r="522" spans="1:13" x14ac:dyDescent="0.25">
      <c r="A522" s="521"/>
      <c r="B522" s="572">
        <v>42578</v>
      </c>
      <c r="C522" s="521">
        <v>200</v>
      </c>
      <c r="D522" s="522">
        <v>13.18</v>
      </c>
      <c r="E522" s="523">
        <v>0</v>
      </c>
      <c r="F522" s="523">
        <f t="shared" si="115"/>
        <v>2636</v>
      </c>
      <c r="G522" s="520">
        <v>42586</v>
      </c>
      <c r="H522" s="539">
        <v>400</v>
      </c>
      <c r="I522" s="522">
        <v>13.72</v>
      </c>
      <c r="J522" s="523">
        <v>0.12</v>
      </c>
      <c r="K522" s="523">
        <f t="shared" si="116"/>
        <v>5487.88</v>
      </c>
      <c r="L522" s="521"/>
      <c r="M522" s="523"/>
    </row>
    <row r="523" spans="1:13" x14ac:dyDescent="0.25">
      <c r="A523" s="521"/>
      <c r="B523" s="572">
        <v>42580</v>
      </c>
      <c r="C523" s="521">
        <v>200</v>
      </c>
      <c r="D523" s="522">
        <v>13.15</v>
      </c>
      <c r="E523" s="523">
        <v>0</v>
      </c>
      <c r="F523" s="523">
        <f t="shared" si="115"/>
        <v>2630</v>
      </c>
      <c r="G523" s="520">
        <v>42586</v>
      </c>
      <c r="H523" s="539">
        <v>140</v>
      </c>
      <c r="I523" s="522">
        <v>13.88</v>
      </c>
      <c r="J523" s="523">
        <v>0.04</v>
      </c>
      <c r="K523" s="523">
        <f t="shared" si="116"/>
        <v>1943.16</v>
      </c>
      <c r="L523" s="521"/>
      <c r="M523" s="523"/>
    </row>
    <row r="524" spans="1:13" x14ac:dyDescent="0.25">
      <c r="A524" s="521"/>
      <c r="B524" s="572">
        <v>42583</v>
      </c>
      <c r="C524" s="621">
        <v>20</v>
      </c>
      <c r="D524" s="522">
        <v>13.02</v>
      </c>
      <c r="E524" s="523">
        <v>0</v>
      </c>
      <c r="F524" s="523">
        <f t="shared" si="115"/>
        <v>260.39999999999998</v>
      </c>
      <c r="G524" s="520">
        <v>42593</v>
      </c>
      <c r="H524" s="539">
        <v>460</v>
      </c>
      <c r="I524" s="522">
        <v>14.59</v>
      </c>
      <c r="J524" s="523">
        <v>0.15</v>
      </c>
      <c r="K524" s="523">
        <f t="shared" si="116"/>
        <v>6711.25</v>
      </c>
      <c r="L524" s="521"/>
      <c r="M524" s="523"/>
    </row>
    <row r="525" spans="1:13" x14ac:dyDescent="0.25">
      <c r="A525" s="521"/>
      <c r="B525" s="572">
        <v>42583</v>
      </c>
      <c r="C525" s="521">
        <v>180</v>
      </c>
      <c r="D525" s="522">
        <v>13.02</v>
      </c>
      <c r="E525" s="523">
        <v>0</v>
      </c>
      <c r="F525" s="523">
        <f t="shared" si="115"/>
        <v>2343.6</v>
      </c>
      <c r="G525" s="520">
        <v>42594</v>
      </c>
      <c r="H525" s="539">
        <v>500</v>
      </c>
      <c r="I525" s="522">
        <v>14.88</v>
      </c>
      <c r="J525" s="523">
        <v>0.16</v>
      </c>
      <c r="K525" s="523">
        <f t="shared" si="116"/>
        <v>7439.84</v>
      </c>
      <c r="L525" s="521"/>
      <c r="M525" s="523"/>
    </row>
    <row r="526" spans="1:13" x14ac:dyDescent="0.25">
      <c r="A526" s="521"/>
      <c r="B526" s="572">
        <v>42584</v>
      </c>
      <c r="C526" s="521">
        <v>120</v>
      </c>
      <c r="D526" s="522">
        <v>12.68</v>
      </c>
      <c r="E526" s="523">
        <v>0</v>
      </c>
      <c r="F526" s="523">
        <f t="shared" si="115"/>
        <v>1521.6</v>
      </c>
      <c r="G526" s="520">
        <v>42598</v>
      </c>
      <c r="H526" s="539">
        <v>500</v>
      </c>
      <c r="I526" s="522">
        <v>15.18</v>
      </c>
      <c r="J526" s="523">
        <v>0.17</v>
      </c>
      <c r="K526" s="523">
        <f t="shared" si="116"/>
        <v>7589.83</v>
      </c>
      <c r="L526" s="521"/>
      <c r="M526" s="523"/>
    </row>
    <row r="527" spans="1:13" x14ac:dyDescent="0.25">
      <c r="A527" s="521"/>
      <c r="B527" s="572">
        <v>42584</v>
      </c>
      <c r="C527" s="521">
        <v>80</v>
      </c>
      <c r="D527" s="522">
        <v>12.68</v>
      </c>
      <c r="E527" s="523">
        <v>0</v>
      </c>
      <c r="F527" s="523">
        <f t="shared" si="115"/>
        <v>1014.4</v>
      </c>
      <c r="G527" s="520">
        <v>42599</v>
      </c>
      <c r="H527" s="539">
        <v>500</v>
      </c>
      <c r="I527" s="522">
        <v>15.18</v>
      </c>
      <c r="J527" s="523">
        <v>0.17</v>
      </c>
      <c r="K527" s="523">
        <f t="shared" si="116"/>
        <v>7589.83</v>
      </c>
      <c r="L527" s="521"/>
      <c r="M527" s="523"/>
    </row>
    <row r="528" spans="1:13" x14ac:dyDescent="0.25">
      <c r="A528" s="521"/>
      <c r="B528" s="572">
        <v>42585</v>
      </c>
      <c r="C528" s="521">
        <v>242</v>
      </c>
      <c r="D528" s="522">
        <v>13.38</v>
      </c>
      <c r="E528" s="523">
        <v>0</v>
      </c>
      <c r="F528" s="523">
        <f t="shared" si="115"/>
        <v>3237.96</v>
      </c>
      <c r="G528" s="520">
        <v>42599</v>
      </c>
      <c r="H528" s="539">
        <v>500</v>
      </c>
      <c r="I528" s="522">
        <v>15.41</v>
      </c>
      <c r="J528" s="523">
        <v>0.17</v>
      </c>
      <c r="K528" s="523">
        <f t="shared" si="116"/>
        <v>7704.83</v>
      </c>
      <c r="L528" s="521"/>
      <c r="M528" s="523"/>
    </row>
    <row r="529" spans="1:13" x14ac:dyDescent="0.25">
      <c r="A529" s="521"/>
      <c r="B529" s="572">
        <v>42585</v>
      </c>
      <c r="C529" s="521">
        <v>158</v>
      </c>
      <c r="D529" s="522">
        <v>13.38</v>
      </c>
      <c r="E529" s="523">
        <v>0</v>
      </c>
      <c r="F529" s="523">
        <f t="shared" si="115"/>
        <v>2114.04</v>
      </c>
      <c r="G529" s="520">
        <v>42599</v>
      </c>
      <c r="H529" s="539">
        <v>500</v>
      </c>
      <c r="I529" s="522">
        <v>15.65</v>
      </c>
      <c r="J529" s="523">
        <v>0.17</v>
      </c>
      <c r="K529" s="523">
        <f t="shared" si="116"/>
        <v>7824.83</v>
      </c>
      <c r="L529" s="521"/>
      <c r="M529" s="523"/>
    </row>
    <row r="530" spans="1:13" ht="45" x14ac:dyDescent="0.25">
      <c r="A530" s="521"/>
      <c r="B530" s="572">
        <v>42594</v>
      </c>
      <c r="C530" s="521">
        <v>500</v>
      </c>
      <c r="D530" s="522">
        <v>14.65</v>
      </c>
      <c r="E530" s="523">
        <v>0</v>
      </c>
      <c r="F530" s="523">
        <f t="shared" si="115"/>
        <v>7325</v>
      </c>
      <c r="G530" s="643" t="s">
        <v>263</v>
      </c>
      <c r="H530" s="539">
        <v>500</v>
      </c>
      <c r="I530" s="522">
        <v>16.18</v>
      </c>
      <c r="J530" s="523">
        <v>0.18</v>
      </c>
      <c r="K530" s="523">
        <f t="shared" si="116"/>
        <v>8089.82</v>
      </c>
      <c r="L530" s="521"/>
      <c r="M530" s="523"/>
    </row>
    <row r="531" spans="1:13" x14ac:dyDescent="0.25">
      <c r="A531" s="521"/>
      <c r="B531" s="572">
        <v>42599</v>
      </c>
      <c r="C531" s="521">
        <v>242</v>
      </c>
      <c r="D531" s="522">
        <v>14.95</v>
      </c>
      <c r="E531" s="523">
        <v>0</v>
      </c>
      <c r="F531" s="523">
        <f t="shared" si="115"/>
        <v>3617.8999999999996</v>
      </c>
      <c r="G531" s="643"/>
      <c r="H531" s="539">
        <v>500</v>
      </c>
      <c r="I531" s="522">
        <v>16.38</v>
      </c>
      <c r="J531" s="523">
        <v>0.18</v>
      </c>
      <c r="K531" s="523">
        <f t="shared" si="116"/>
        <v>8189.8199999999988</v>
      </c>
      <c r="L531" s="521"/>
      <c r="M531" s="523"/>
    </row>
    <row r="532" spans="1:13" x14ac:dyDescent="0.25">
      <c r="A532" s="521"/>
      <c r="B532" s="572">
        <v>42599</v>
      </c>
      <c r="C532" s="521">
        <v>200</v>
      </c>
      <c r="D532" s="522">
        <v>14.95</v>
      </c>
      <c r="E532" s="523">
        <v>0</v>
      </c>
      <c r="F532" s="523">
        <f t="shared" si="115"/>
        <v>2990</v>
      </c>
      <c r="G532" s="643"/>
      <c r="H532" s="539">
        <v>178</v>
      </c>
      <c r="I532" s="522">
        <v>16.5</v>
      </c>
      <c r="J532" s="523">
        <v>0.06</v>
      </c>
      <c r="K532" s="523">
        <f t="shared" si="116"/>
        <v>2936.94</v>
      </c>
      <c r="L532" s="521"/>
      <c r="M532" s="523"/>
    </row>
    <row r="533" spans="1:13" x14ac:dyDescent="0.25">
      <c r="A533" s="521"/>
      <c r="B533" s="572">
        <v>42599</v>
      </c>
      <c r="C533" s="521">
        <v>36</v>
      </c>
      <c r="D533" s="522">
        <v>14.95</v>
      </c>
      <c r="E533" s="523">
        <v>0</v>
      </c>
      <c r="F533" s="523">
        <f t="shared" si="115"/>
        <v>538.19999999999993</v>
      </c>
      <c r="G533" s="643"/>
      <c r="H533" s="539">
        <v>500</v>
      </c>
      <c r="I533" s="522">
        <v>16.72</v>
      </c>
      <c r="J533" s="523">
        <v>0.18</v>
      </c>
      <c r="K533" s="523">
        <f t="shared" si="116"/>
        <v>8359.82</v>
      </c>
      <c r="L533" s="521"/>
      <c r="M533" s="523"/>
    </row>
    <row r="534" spans="1:13" x14ac:dyDescent="0.25">
      <c r="A534" s="521"/>
      <c r="B534" s="572">
        <v>42599</v>
      </c>
      <c r="C534" s="521">
        <v>22</v>
      </c>
      <c r="D534" s="522">
        <v>14.95</v>
      </c>
      <c r="E534" s="523">
        <v>0</v>
      </c>
      <c r="F534" s="523">
        <f t="shared" si="115"/>
        <v>328.9</v>
      </c>
      <c r="G534" s="520">
        <v>42601</v>
      </c>
      <c r="H534" s="539">
        <v>500</v>
      </c>
      <c r="I534" s="522">
        <v>16.82</v>
      </c>
      <c r="J534" s="523">
        <v>0.18</v>
      </c>
      <c r="K534" s="523">
        <f t="shared" si="116"/>
        <v>8409.82</v>
      </c>
      <c r="L534" s="521"/>
      <c r="M534" s="523"/>
    </row>
    <row r="535" spans="1:13" x14ac:dyDescent="0.25">
      <c r="A535" s="521"/>
      <c r="B535" s="572">
        <v>42604</v>
      </c>
      <c r="C535" s="521">
        <v>1000</v>
      </c>
      <c r="D535" s="522">
        <v>15.68</v>
      </c>
      <c r="E535" s="523">
        <v>0</v>
      </c>
      <c r="F535" s="523">
        <f t="shared" si="115"/>
        <v>15680</v>
      </c>
      <c r="G535" s="520">
        <v>42605</v>
      </c>
      <c r="H535" s="539">
        <v>500</v>
      </c>
      <c r="I535" s="522">
        <v>15.98</v>
      </c>
      <c r="J535" s="523">
        <v>0.17</v>
      </c>
      <c r="K535" s="523">
        <f t="shared" si="116"/>
        <v>7989.83</v>
      </c>
      <c r="L535" s="521"/>
      <c r="M535" s="523"/>
    </row>
    <row r="536" spans="1:13" x14ac:dyDescent="0.25">
      <c r="A536" s="521"/>
      <c r="B536" s="572">
        <v>42604</v>
      </c>
      <c r="C536" s="521">
        <v>500</v>
      </c>
      <c r="D536" s="522">
        <v>15.48</v>
      </c>
      <c r="E536" s="523">
        <v>0</v>
      </c>
      <c r="F536" s="523">
        <f t="shared" si="115"/>
        <v>7740</v>
      </c>
      <c r="G536" s="520">
        <v>42605</v>
      </c>
      <c r="H536" s="539">
        <v>500</v>
      </c>
      <c r="I536" s="522">
        <v>16.25</v>
      </c>
      <c r="J536" s="523">
        <v>0.18</v>
      </c>
      <c r="K536" s="523">
        <f t="shared" si="116"/>
        <v>8124.82</v>
      </c>
      <c r="L536" s="521"/>
      <c r="M536" s="523"/>
    </row>
    <row r="537" spans="1:13" x14ac:dyDescent="0.25">
      <c r="A537" s="521"/>
      <c r="B537" s="572">
        <v>42606</v>
      </c>
      <c r="C537" s="521">
        <v>178</v>
      </c>
      <c r="D537" s="522">
        <v>16.059999999999999</v>
      </c>
      <c r="E537" s="523">
        <v>0</v>
      </c>
      <c r="F537" s="523">
        <f t="shared" si="115"/>
        <v>2858.68</v>
      </c>
      <c r="G537" s="520">
        <v>42605</v>
      </c>
      <c r="H537" s="539">
        <v>500</v>
      </c>
      <c r="I537" s="522">
        <v>16.48</v>
      </c>
      <c r="J537" s="523">
        <v>0.18</v>
      </c>
      <c r="K537" s="523">
        <f t="shared" si="116"/>
        <v>8239.82</v>
      </c>
      <c r="L537" s="521"/>
      <c r="M537" s="523"/>
    </row>
    <row r="538" spans="1:13" x14ac:dyDescent="0.25">
      <c r="A538" s="521"/>
      <c r="B538" s="572">
        <v>42608</v>
      </c>
      <c r="C538" s="521">
        <v>500</v>
      </c>
      <c r="D538" s="522">
        <v>15.98</v>
      </c>
      <c r="E538" s="523">
        <v>0</v>
      </c>
      <c r="F538" s="523">
        <f t="shared" si="115"/>
        <v>7990</v>
      </c>
      <c r="G538" s="520">
        <v>42615</v>
      </c>
      <c r="H538" s="539">
        <v>500</v>
      </c>
      <c r="I538" s="522">
        <v>15.65</v>
      </c>
      <c r="J538" s="523">
        <v>0.17</v>
      </c>
      <c r="K538" s="523">
        <f t="shared" si="116"/>
        <v>7824.83</v>
      </c>
      <c r="L538" s="521"/>
      <c r="M538" s="523"/>
    </row>
    <row r="539" spans="1:13" ht="30" x14ac:dyDescent="0.25">
      <c r="A539" s="521"/>
      <c r="B539" s="572">
        <v>42608</v>
      </c>
      <c r="C539" s="521">
        <v>500</v>
      </c>
      <c r="D539" s="522">
        <v>15.85</v>
      </c>
      <c r="E539" s="523">
        <v>0</v>
      </c>
      <c r="F539" s="523">
        <f t="shared" si="115"/>
        <v>7925</v>
      </c>
      <c r="G539" s="520">
        <v>42621</v>
      </c>
      <c r="H539" s="539">
        <v>500</v>
      </c>
      <c r="I539" s="522">
        <v>16.72</v>
      </c>
      <c r="J539" s="523">
        <v>0.18</v>
      </c>
      <c r="K539" s="523">
        <f t="shared" si="116"/>
        <v>8359.82</v>
      </c>
      <c r="L539" s="644" t="s">
        <v>276</v>
      </c>
      <c r="M539" s="523"/>
    </row>
    <row r="540" spans="1:13" x14ac:dyDescent="0.25">
      <c r="A540" s="521"/>
      <c r="B540" s="572">
        <v>42612</v>
      </c>
      <c r="C540" s="521">
        <v>500</v>
      </c>
      <c r="D540" s="522">
        <v>15.68</v>
      </c>
      <c r="E540" s="523">
        <v>0</v>
      </c>
      <c r="F540" s="523">
        <f t="shared" si="115"/>
        <v>7840</v>
      </c>
      <c r="G540" s="520">
        <v>42621</v>
      </c>
      <c r="H540" s="539">
        <v>500</v>
      </c>
      <c r="I540" s="522">
        <v>16.28</v>
      </c>
      <c r="J540" s="523">
        <v>0.18</v>
      </c>
      <c r="K540" s="523">
        <f t="shared" si="116"/>
        <v>8139.8200000000006</v>
      </c>
      <c r="L540" s="644"/>
      <c r="M540" s="523"/>
    </row>
    <row r="541" spans="1:13" x14ac:dyDescent="0.25">
      <c r="A541" s="521"/>
      <c r="B541" s="572">
        <v>42612</v>
      </c>
      <c r="C541" s="521">
        <v>500</v>
      </c>
      <c r="D541" s="522">
        <v>15.55</v>
      </c>
      <c r="E541" s="523">
        <v>0</v>
      </c>
      <c r="F541" s="523">
        <f t="shared" si="115"/>
        <v>7775</v>
      </c>
      <c r="G541" s="520">
        <v>42621</v>
      </c>
      <c r="H541" s="539">
        <v>220</v>
      </c>
      <c r="I541" s="522">
        <v>16.77</v>
      </c>
      <c r="J541" s="523">
        <v>0.08</v>
      </c>
      <c r="K541" s="523">
        <f t="shared" si="116"/>
        <v>3689.32</v>
      </c>
      <c r="L541" s="644"/>
      <c r="M541" s="523"/>
    </row>
    <row r="542" spans="1:13" x14ac:dyDescent="0.25">
      <c r="A542" s="521"/>
      <c r="B542" s="572">
        <v>42613</v>
      </c>
      <c r="C542" s="521">
        <v>500</v>
      </c>
      <c r="D542" s="522">
        <v>15.244999999999999</v>
      </c>
      <c r="E542" s="523">
        <v>0</v>
      </c>
      <c r="F542" s="523">
        <f t="shared" si="115"/>
        <v>7622.5</v>
      </c>
      <c r="G542" s="520">
        <v>42625</v>
      </c>
      <c r="H542" s="539">
        <v>500</v>
      </c>
      <c r="I542" s="522">
        <v>15.5</v>
      </c>
      <c r="J542" s="523">
        <v>0.17</v>
      </c>
      <c r="K542" s="523">
        <f t="shared" si="116"/>
        <v>7749.83</v>
      </c>
      <c r="L542" s="521"/>
      <c r="M542" s="523"/>
    </row>
    <row r="543" spans="1:13" x14ac:dyDescent="0.25">
      <c r="A543" s="521"/>
      <c r="B543" s="572">
        <v>42613</v>
      </c>
      <c r="C543" s="521">
        <v>500</v>
      </c>
      <c r="D543" s="522">
        <v>15.08</v>
      </c>
      <c r="E543" s="523">
        <v>0</v>
      </c>
      <c r="F543" s="523">
        <f t="shared" si="115"/>
        <v>7540</v>
      </c>
      <c r="G543" s="520">
        <v>42628</v>
      </c>
      <c r="H543" s="539">
        <v>300</v>
      </c>
      <c r="I543" s="522">
        <v>14.46</v>
      </c>
      <c r="J543" s="523">
        <v>0.09</v>
      </c>
      <c r="K543" s="523">
        <f t="shared" si="116"/>
        <v>4337.91</v>
      </c>
      <c r="L543" s="521"/>
      <c r="M543" s="523"/>
    </row>
    <row r="544" spans="1:13" x14ac:dyDescent="0.25">
      <c r="A544" s="521"/>
      <c r="B544" s="572">
        <v>42622</v>
      </c>
      <c r="C544" s="521">
        <v>220</v>
      </c>
      <c r="D544" s="522">
        <v>16.25</v>
      </c>
      <c r="E544" s="523">
        <v>0</v>
      </c>
      <c r="F544" s="523">
        <f t="shared" si="115"/>
        <v>3575</v>
      </c>
      <c r="G544" s="520">
        <v>42634</v>
      </c>
      <c r="H544" s="539">
        <v>322</v>
      </c>
      <c r="I544" s="522">
        <v>14.28</v>
      </c>
      <c r="J544" s="523">
        <v>0.1</v>
      </c>
      <c r="K544" s="523">
        <f t="shared" si="116"/>
        <v>4598.0599999999995</v>
      </c>
      <c r="L544" s="521"/>
      <c r="M544" s="523"/>
    </row>
    <row r="545" spans="1:13" x14ac:dyDescent="0.25">
      <c r="A545" s="521"/>
      <c r="B545" s="572">
        <v>42622</v>
      </c>
      <c r="C545" s="521">
        <v>500</v>
      </c>
      <c r="D545" s="522">
        <v>15.98</v>
      </c>
      <c r="E545" s="523">
        <v>0</v>
      </c>
      <c r="F545" s="523">
        <f t="shared" si="115"/>
        <v>7990</v>
      </c>
      <c r="G545" s="520">
        <v>42634</v>
      </c>
      <c r="H545" s="539">
        <v>400</v>
      </c>
      <c r="I545" s="522">
        <v>14.64</v>
      </c>
      <c r="J545" s="523">
        <v>0.13</v>
      </c>
      <c r="K545" s="523">
        <f t="shared" si="116"/>
        <v>5855.87</v>
      </c>
      <c r="L545" s="521"/>
      <c r="M545" s="523"/>
    </row>
    <row r="546" spans="1:13" x14ac:dyDescent="0.25">
      <c r="A546" s="521"/>
      <c r="B546" s="572">
        <v>42622</v>
      </c>
      <c r="C546" s="521">
        <v>500</v>
      </c>
      <c r="D546" s="522">
        <v>15.75</v>
      </c>
      <c r="E546" s="523">
        <v>0</v>
      </c>
      <c r="F546" s="523">
        <f t="shared" si="115"/>
        <v>7875</v>
      </c>
      <c r="G546" s="520">
        <v>42639</v>
      </c>
      <c r="H546" s="539">
        <v>200</v>
      </c>
      <c r="I546" s="522">
        <v>14.72</v>
      </c>
      <c r="J546" s="523">
        <v>0.06</v>
      </c>
      <c r="K546" s="523">
        <f t="shared" si="116"/>
        <v>2943.94</v>
      </c>
      <c r="L546" s="521"/>
      <c r="M546" s="523"/>
    </row>
    <row r="547" spans="1:13" x14ac:dyDescent="0.25">
      <c r="A547" s="521"/>
      <c r="B547" s="572">
        <v>42625</v>
      </c>
      <c r="C547" s="521">
        <v>500</v>
      </c>
      <c r="D547" s="522">
        <v>15.22</v>
      </c>
      <c r="E547" s="523">
        <v>0</v>
      </c>
      <c r="F547" s="523">
        <f t="shared" si="115"/>
        <v>7610</v>
      </c>
      <c r="G547" s="520">
        <v>42641</v>
      </c>
      <c r="H547" s="539">
        <v>300</v>
      </c>
      <c r="I547" s="522">
        <v>15.28</v>
      </c>
      <c r="J547" s="523">
        <v>0.1</v>
      </c>
      <c r="K547" s="523">
        <f t="shared" si="116"/>
        <v>4583.8999999999996</v>
      </c>
      <c r="L547" s="521"/>
      <c r="M547" s="523"/>
    </row>
    <row r="548" spans="1:13" ht="30" x14ac:dyDescent="0.25">
      <c r="A548" s="626" t="s">
        <v>286</v>
      </c>
      <c r="B548" s="572">
        <v>42626</v>
      </c>
      <c r="C548" s="521">
        <v>600</v>
      </c>
      <c r="D548" s="522">
        <v>14.91</v>
      </c>
      <c r="E548" s="523">
        <v>-3</v>
      </c>
      <c r="F548" s="523">
        <f t="shared" si="115"/>
        <v>8943</v>
      </c>
      <c r="G548" s="520">
        <v>42641</v>
      </c>
      <c r="H548" s="539">
        <v>400</v>
      </c>
      <c r="I548" s="522">
        <v>15.06</v>
      </c>
      <c r="J548" s="523">
        <v>0.13</v>
      </c>
      <c r="K548" s="523">
        <f t="shared" si="116"/>
        <v>6023.87</v>
      </c>
      <c r="L548" s="521"/>
      <c r="M548" s="523"/>
    </row>
    <row r="549" spans="1:13" x14ac:dyDescent="0.25">
      <c r="A549" s="626"/>
      <c r="B549" s="572">
        <v>42626</v>
      </c>
      <c r="C549" s="521">
        <v>400</v>
      </c>
      <c r="D549" s="522">
        <v>14.75</v>
      </c>
      <c r="E549" s="523">
        <v>0</v>
      </c>
      <c r="F549" s="523">
        <f t="shared" si="115"/>
        <v>5900</v>
      </c>
      <c r="G549" s="520">
        <v>42641</v>
      </c>
      <c r="H549" s="539">
        <v>322</v>
      </c>
      <c r="I549" s="522">
        <v>14.39</v>
      </c>
      <c r="J549" s="523">
        <v>0.1</v>
      </c>
      <c r="K549" s="523">
        <f t="shared" si="116"/>
        <v>4633.4799999999996</v>
      </c>
      <c r="L549" s="521"/>
      <c r="M549" s="523"/>
    </row>
    <row r="550" spans="1:13" x14ac:dyDescent="0.25">
      <c r="A550" s="626"/>
      <c r="B550" s="572">
        <v>42626</v>
      </c>
      <c r="C550" s="521">
        <v>300</v>
      </c>
      <c r="D550" s="522">
        <v>14.48</v>
      </c>
      <c r="E550" s="523">
        <v>0</v>
      </c>
      <c r="F550" s="523">
        <f t="shared" si="115"/>
        <v>4344</v>
      </c>
      <c r="G550" s="520">
        <v>42641</v>
      </c>
      <c r="H550" s="539">
        <v>500</v>
      </c>
      <c r="I550" s="522">
        <v>14.26</v>
      </c>
      <c r="J550" s="523">
        <v>0.16</v>
      </c>
      <c r="K550" s="523">
        <f t="shared" si="116"/>
        <v>7129.84</v>
      </c>
      <c r="L550" s="521"/>
      <c r="M550" s="523"/>
    </row>
    <row r="551" spans="1:13" x14ac:dyDescent="0.25">
      <c r="A551" s="626"/>
      <c r="B551" s="572">
        <v>42626</v>
      </c>
      <c r="C551" s="521">
        <v>300</v>
      </c>
      <c r="D551" s="522">
        <v>14.25</v>
      </c>
      <c r="E551" s="523">
        <v>0</v>
      </c>
      <c r="F551" s="523">
        <f t="shared" si="115"/>
        <v>4275</v>
      </c>
      <c r="G551" s="520">
        <v>42642</v>
      </c>
      <c r="H551" s="539">
        <v>300</v>
      </c>
      <c r="I551" s="522">
        <v>15.28</v>
      </c>
      <c r="J551" s="523">
        <v>0.1</v>
      </c>
      <c r="K551" s="523">
        <f t="shared" si="116"/>
        <v>4583.8999999999996</v>
      </c>
      <c r="L551" s="521"/>
      <c r="M551" s="523"/>
    </row>
    <row r="552" spans="1:13" x14ac:dyDescent="0.25">
      <c r="A552" s="626"/>
      <c r="B552" s="572">
        <v>42627</v>
      </c>
      <c r="C552" s="521">
        <v>200</v>
      </c>
      <c r="D552" s="522">
        <v>14.02</v>
      </c>
      <c r="E552" s="523">
        <v>-1</v>
      </c>
      <c r="F552" s="523">
        <f t="shared" si="115"/>
        <v>2803</v>
      </c>
      <c r="G552" s="520">
        <v>42642</v>
      </c>
      <c r="H552" s="539">
        <v>700</v>
      </c>
      <c r="I552" s="522">
        <v>15.78</v>
      </c>
      <c r="J552" s="523">
        <v>0.24</v>
      </c>
      <c r="K552" s="523">
        <f t="shared" si="116"/>
        <v>11045.76</v>
      </c>
      <c r="L552" s="521"/>
      <c r="M552" s="523"/>
    </row>
    <row r="553" spans="1:13" x14ac:dyDescent="0.25">
      <c r="A553" s="521"/>
      <c r="B553" s="572">
        <v>42628</v>
      </c>
      <c r="C553" s="521">
        <v>300</v>
      </c>
      <c r="D553" s="522">
        <v>14.3</v>
      </c>
      <c r="E553" s="523">
        <v>0</v>
      </c>
      <c r="F553" s="523">
        <f t="shared" si="115"/>
        <v>4290</v>
      </c>
      <c r="G553" s="520">
        <v>42642</v>
      </c>
      <c r="H553" s="539">
        <v>214</v>
      </c>
      <c r="I553" s="522">
        <v>15.98</v>
      </c>
      <c r="J553" s="523">
        <v>7.0000000000000007E-2</v>
      </c>
      <c r="K553" s="523">
        <f t="shared" si="116"/>
        <v>3419.65</v>
      </c>
      <c r="L553" s="521"/>
      <c r="M553" s="523"/>
    </row>
    <row r="554" spans="1:13" x14ac:dyDescent="0.25">
      <c r="A554" s="521"/>
      <c r="B554" s="572">
        <v>42632</v>
      </c>
      <c r="C554" s="521">
        <v>200</v>
      </c>
      <c r="D554" s="522">
        <v>14.06</v>
      </c>
      <c r="E554" s="523">
        <v>0</v>
      </c>
      <c r="F554" s="523">
        <f t="shared" si="115"/>
        <v>2812</v>
      </c>
      <c r="G554" s="520">
        <v>42648</v>
      </c>
      <c r="H554" s="539">
        <v>1000</v>
      </c>
      <c r="I554" s="522">
        <v>16.079999999999998</v>
      </c>
      <c r="J554" s="523">
        <v>0.35</v>
      </c>
      <c r="K554" s="523">
        <f t="shared" si="116"/>
        <v>16079.649999999998</v>
      </c>
      <c r="L554" s="521"/>
      <c r="M554" s="523"/>
    </row>
    <row r="555" spans="1:13" x14ac:dyDescent="0.25">
      <c r="A555" s="521"/>
      <c r="B555" s="572">
        <v>42633</v>
      </c>
      <c r="C555" s="521">
        <v>200</v>
      </c>
      <c r="D555" s="522">
        <v>14.11</v>
      </c>
      <c r="E555" s="523">
        <v>0</v>
      </c>
      <c r="F555" s="523">
        <f t="shared" si="115"/>
        <v>2822</v>
      </c>
      <c r="G555" s="520">
        <v>42648</v>
      </c>
      <c r="H555" s="539">
        <v>500</v>
      </c>
      <c r="I555" s="522">
        <v>16.38</v>
      </c>
      <c r="J555" s="523">
        <v>0.18</v>
      </c>
      <c r="K555" s="523">
        <f t="shared" si="116"/>
        <v>8189.8199999999988</v>
      </c>
      <c r="L555" s="521"/>
      <c r="M555" s="523"/>
    </row>
    <row r="556" spans="1:13" x14ac:dyDescent="0.25">
      <c r="A556" s="521"/>
      <c r="B556" s="572">
        <v>42633</v>
      </c>
      <c r="C556" s="521">
        <v>122</v>
      </c>
      <c r="D556" s="522">
        <v>14.1</v>
      </c>
      <c r="E556" s="523">
        <v>0</v>
      </c>
      <c r="F556" s="523">
        <f t="shared" si="115"/>
        <v>1720.2</v>
      </c>
      <c r="G556" s="520">
        <v>42649</v>
      </c>
      <c r="H556" s="539">
        <v>500</v>
      </c>
      <c r="I556" s="522">
        <v>16.16</v>
      </c>
      <c r="J556" s="523">
        <v>0.18</v>
      </c>
      <c r="K556" s="523">
        <f t="shared" si="116"/>
        <v>8079.82</v>
      </c>
      <c r="L556" s="521"/>
      <c r="M556" s="523"/>
    </row>
    <row r="557" spans="1:13" x14ac:dyDescent="0.25">
      <c r="A557" s="521"/>
      <c r="B557" s="572">
        <v>42636</v>
      </c>
      <c r="C557" s="521">
        <v>200</v>
      </c>
      <c r="D557" s="522">
        <v>14.38</v>
      </c>
      <c r="E557" s="523">
        <v>0</v>
      </c>
      <c r="F557" s="523">
        <f t="shared" si="115"/>
        <v>2876</v>
      </c>
      <c r="G557" s="520">
        <v>42671</v>
      </c>
      <c r="H557" s="539">
        <v>1000</v>
      </c>
      <c r="I557" s="522">
        <v>14.22</v>
      </c>
      <c r="J557" s="523">
        <v>0.31</v>
      </c>
      <c r="K557" s="523">
        <f t="shared" si="116"/>
        <v>14219.69</v>
      </c>
      <c r="L557" s="521"/>
      <c r="M557" s="523"/>
    </row>
    <row r="558" spans="1:13" x14ac:dyDescent="0.25">
      <c r="A558" s="521"/>
      <c r="B558" s="572">
        <v>42639</v>
      </c>
      <c r="C558" s="521">
        <v>200</v>
      </c>
      <c r="D558" s="522">
        <v>14.5</v>
      </c>
      <c r="E558" s="523">
        <v>0</v>
      </c>
      <c r="F558" s="523">
        <f t="shared" ref="F558:F572" si="117">C558*D558+E558</f>
        <v>2900</v>
      </c>
      <c r="G558" s="520">
        <v>42674</v>
      </c>
      <c r="H558" s="539">
        <v>300</v>
      </c>
      <c r="I558" s="522">
        <v>13.42</v>
      </c>
      <c r="J558" s="523">
        <v>0.09</v>
      </c>
      <c r="K558" s="523">
        <f t="shared" si="116"/>
        <v>4025.91</v>
      </c>
      <c r="L558" s="521"/>
      <c r="M558" s="523"/>
    </row>
    <row r="559" spans="1:13" x14ac:dyDescent="0.25">
      <c r="A559" s="521"/>
      <c r="B559" s="572">
        <v>42639</v>
      </c>
      <c r="C559" s="521">
        <v>200</v>
      </c>
      <c r="D559" s="522">
        <v>14.38</v>
      </c>
      <c r="E559" s="523">
        <v>0</v>
      </c>
      <c r="F559" s="523">
        <f t="shared" si="117"/>
        <v>2876</v>
      </c>
      <c r="G559" s="520">
        <v>42674</v>
      </c>
      <c r="H559" s="539">
        <v>200</v>
      </c>
      <c r="I559" s="522">
        <v>13.25</v>
      </c>
      <c r="J559" s="523">
        <v>-0.74</v>
      </c>
      <c r="K559" s="523">
        <f t="shared" si="116"/>
        <v>2650.74</v>
      </c>
      <c r="L559" s="521"/>
      <c r="M559" s="523"/>
    </row>
    <row r="560" spans="1:13" x14ac:dyDescent="0.25">
      <c r="A560" s="521"/>
      <c r="B560" s="572">
        <v>42640</v>
      </c>
      <c r="C560" s="521">
        <v>322</v>
      </c>
      <c r="D560" s="522">
        <v>13.97</v>
      </c>
      <c r="E560" s="523">
        <v>0</v>
      </c>
      <c r="F560" s="523">
        <f t="shared" si="117"/>
        <v>4498.34</v>
      </c>
      <c r="G560" s="520">
        <v>42676</v>
      </c>
      <c r="H560" s="539">
        <v>200</v>
      </c>
      <c r="I560" s="522">
        <v>13.05</v>
      </c>
      <c r="J560" s="523">
        <v>0.06</v>
      </c>
      <c r="K560" s="523">
        <f t="shared" si="116"/>
        <v>2609.94</v>
      </c>
      <c r="L560" s="521"/>
      <c r="M560" s="523"/>
    </row>
    <row r="561" spans="1:13" x14ac:dyDescent="0.25">
      <c r="A561" s="521"/>
      <c r="B561" s="572">
        <v>42641</v>
      </c>
      <c r="C561" s="521">
        <v>300</v>
      </c>
      <c r="D561" s="522">
        <v>14.02</v>
      </c>
      <c r="E561" s="523">
        <v>-1.26</v>
      </c>
      <c r="F561" s="523">
        <f t="shared" si="117"/>
        <v>4204.74</v>
      </c>
      <c r="G561" s="520">
        <v>42677</v>
      </c>
      <c r="H561" s="539">
        <v>500</v>
      </c>
      <c r="I561" s="522">
        <v>13.96</v>
      </c>
      <c r="J561" s="523">
        <v>0.15</v>
      </c>
      <c r="K561" s="523">
        <f t="shared" si="116"/>
        <v>6979.85</v>
      </c>
      <c r="L561" s="521"/>
      <c r="M561" s="523"/>
    </row>
    <row r="562" spans="1:13" x14ac:dyDescent="0.25">
      <c r="A562" s="521"/>
      <c r="B562" s="572">
        <v>42641</v>
      </c>
      <c r="C562" s="521">
        <v>200</v>
      </c>
      <c r="D562" s="522">
        <v>14.17</v>
      </c>
      <c r="E562" s="523">
        <v>0</v>
      </c>
      <c r="F562" s="523">
        <f t="shared" si="117"/>
        <v>2834</v>
      </c>
      <c r="G562" s="520">
        <v>42677</v>
      </c>
      <c r="H562" s="539">
        <v>2000</v>
      </c>
      <c r="I562" s="522">
        <v>14.5</v>
      </c>
      <c r="J562" s="523">
        <v>0.63</v>
      </c>
      <c r="K562" s="523">
        <f t="shared" si="116"/>
        <v>28999.37</v>
      </c>
      <c r="L562" s="521"/>
      <c r="M562" s="523"/>
    </row>
    <row r="563" spans="1:13" x14ac:dyDescent="0.25">
      <c r="A563" s="521"/>
      <c r="B563" s="572">
        <v>42642</v>
      </c>
      <c r="C563" s="521">
        <v>414</v>
      </c>
      <c r="D563" s="522">
        <v>15.66</v>
      </c>
      <c r="E563" s="523">
        <v>0</v>
      </c>
      <c r="F563" s="523">
        <f t="shared" si="117"/>
        <v>6483.24</v>
      </c>
      <c r="G563" s="520">
        <v>42682</v>
      </c>
      <c r="H563" s="539">
        <v>1000</v>
      </c>
      <c r="I563" s="522">
        <v>14.28</v>
      </c>
      <c r="J563" s="523">
        <v>0.31</v>
      </c>
      <c r="K563" s="523">
        <f t="shared" si="116"/>
        <v>14279.69</v>
      </c>
      <c r="L563" s="521"/>
      <c r="M563" s="523"/>
    </row>
    <row r="564" spans="1:13" ht="30" x14ac:dyDescent="0.25">
      <c r="A564" s="626" t="s">
        <v>302</v>
      </c>
      <c r="B564" s="572">
        <v>42647</v>
      </c>
      <c r="C564" s="521">
        <v>500</v>
      </c>
      <c r="D564" s="522">
        <v>15.86</v>
      </c>
      <c r="E564" s="523">
        <v>0</v>
      </c>
      <c r="F564" s="523">
        <f t="shared" si="117"/>
        <v>7930</v>
      </c>
      <c r="G564" s="520">
        <v>42685</v>
      </c>
      <c r="H564" s="539">
        <v>500</v>
      </c>
      <c r="I564" s="522">
        <v>15.88</v>
      </c>
      <c r="J564" s="523">
        <v>0.17</v>
      </c>
      <c r="K564" s="523">
        <f t="shared" si="116"/>
        <v>7939.83</v>
      </c>
      <c r="L564" s="521"/>
      <c r="M564" s="523"/>
    </row>
    <row r="565" spans="1:13" x14ac:dyDescent="0.25">
      <c r="A565" s="626"/>
      <c r="B565" s="572">
        <v>42647</v>
      </c>
      <c r="C565" s="521">
        <v>500</v>
      </c>
      <c r="D565" s="522">
        <v>15.62</v>
      </c>
      <c r="E565" s="523">
        <v>0</v>
      </c>
      <c r="F565" s="523">
        <f t="shared" si="117"/>
        <v>7810</v>
      </c>
      <c r="G565" s="520">
        <v>42695</v>
      </c>
      <c r="H565" s="539">
        <v>2272</v>
      </c>
      <c r="I565" s="522">
        <v>16.28</v>
      </c>
      <c r="J565" s="523">
        <v>0.81</v>
      </c>
      <c r="K565" s="523">
        <f t="shared" si="116"/>
        <v>36987.350000000006</v>
      </c>
      <c r="L565" s="521"/>
      <c r="M565" s="523"/>
    </row>
    <row r="566" spans="1:13" x14ac:dyDescent="0.25">
      <c r="A566" s="626"/>
      <c r="B566" s="572">
        <v>42649</v>
      </c>
      <c r="C566" s="521">
        <v>500</v>
      </c>
      <c r="D566" s="522">
        <v>15.97</v>
      </c>
      <c r="E566" s="523">
        <v>0</v>
      </c>
      <c r="F566" s="523">
        <f t="shared" si="117"/>
        <v>7985</v>
      </c>
      <c r="G566" s="520">
        <v>42695</v>
      </c>
      <c r="H566" s="539">
        <v>500</v>
      </c>
      <c r="I566" s="522">
        <v>16.45</v>
      </c>
      <c r="J566" s="523">
        <v>0.18</v>
      </c>
      <c r="K566" s="523">
        <f t="shared" si="116"/>
        <v>8224.82</v>
      </c>
      <c r="L566" s="521"/>
      <c r="M566" s="523"/>
    </row>
    <row r="567" spans="1:13" x14ac:dyDescent="0.25">
      <c r="A567" s="626"/>
      <c r="B567" s="572">
        <v>42649</v>
      </c>
      <c r="C567" s="521">
        <v>500</v>
      </c>
      <c r="D567" s="522">
        <v>15.84</v>
      </c>
      <c r="E567" s="523">
        <v>0</v>
      </c>
      <c r="F567" s="523">
        <f t="shared" si="117"/>
        <v>7920</v>
      </c>
      <c r="G567" s="520">
        <v>42696</v>
      </c>
      <c r="H567" s="539">
        <v>500</v>
      </c>
      <c r="I567" s="522">
        <v>16.54</v>
      </c>
      <c r="J567" s="523">
        <v>0.18</v>
      </c>
      <c r="K567" s="523">
        <f t="shared" si="116"/>
        <v>8269.82</v>
      </c>
      <c r="L567" s="521"/>
      <c r="M567" s="523"/>
    </row>
    <row r="568" spans="1:13" x14ac:dyDescent="0.25">
      <c r="A568" s="521"/>
      <c r="B568" s="572">
        <v>42649</v>
      </c>
      <c r="C568" s="521">
        <v>500</v>
      </c>
      <c r="D568" s="522">
        <v>16.079999999999998</v>
      </c>
      <c r="E568" s="523">
        <v>0</v>
      </c>
      <c r="F568" s="523">
        <f t="shared" si="117"/>
        <v>8039.9999999999991</v>
      </c>
      <c r="G568" s="520">
        <v>42697</v>
      </c>
      <c r="H568" s="539">
        <v>200</v>
      </c>
      <c r="I568" s="522">
        <v>16.79</v>
      </c>
      <c r="J568" s="523">
        <v>7.0000000000000007E-2</v>
      </c>
      <c r="K568" s="523">
        <f t="shared" si="116"/>
        <v>3357.93</v>
      </c>
      <c r="L568" s="521"/>
      <c r="M568" s="523"/>
    </row>
    <row r="569" spans="1:13" x14ac:dyDescent="0.25">
      <c r="A569" s="521"/>
      <c r="B569" s="572">
        <v>42650</v>
      </c>
      <c r="C569" s="521">
        <v>300</v>
      </c>
      <c r="D569" s="522">
        <v>15.75</v>
      </c>
      <c r="E569" s="523">
        <v>0</v>
      </c>
      <c r="F569" s="523">
        <f t="shared" si="117"/>
        <v>4725</v>
      </c>
      <c r="G569" s="520">
        <v>42697</v>
      </c>
      <c r="H569" s="539">
        <v>500</v>
      </c>
      <c r="I569" s="522">
        <v>16.59</v>
      </c>
      <c r="J569" s="523">
        <v>0.18</v>
      </c>
      <c r="K569" s="523">
        <f t="shared" si="116"/>
        <v>8294.82</v>
      </c>
      <c r="L569" s="521"/>
      <c r="M569" s="523"/>
    </row>
    <row r="570" spans="1:13" x14ac:dyDescent="0.25">
      <c r="A570" s="521"/>
      <c r="B570" s="572">
        <v>42650</v>
      </c>
      <c r="C570" s="521">
        <v>300</v>
      </c>
      <c r="D570" s="522">
        <v>15.58</v>
      </c>
      <c r="E570" s="523">
        <v>0</v>
      </c>
      <c r="F570" s="523">
        <f t="shared" si="117"/>
        <v>4674</v>
      </c>
      <c r="G570" s="520">
        <v>42704</v>
      </c>
      <c r="H570" s="539">
        <v>1000</v>
      </c>
      <c r="I570" s="522">
        <v>16.420000000000002</v>
      </c>
      <c r="J570" s="523">
        <v>0.36</v>
      </c>
      <c r="K570" s="523">
        <f t="shared" si="116"/>
        <v>16419.64</v>
      </c>
      <c r="L570" s="521"/>
      <c r="M570" s="523"/>
    </row>
    <row r="571" spans="1:13" x14ac:dyDescent="0.25">
      <c r="A571" s="521"/>
      <c r="B571" s="572">
        <v>42653</v>
      </c>
      <c r="C571" s="521">
        <v>394</v>
      </c>
      <c r="D571" s="522">
        <v>15.72</v>
      </c>
      <c r="E571" s="523">
        <v>0</v>
      </c>
      <c r="F571" s="523">
        <f t="shared" si="117"/>
        <v>6193.68</v>
      </c>
      <c r="G571" s="520">
        <v>42704</v>
      </c>
      <c r="H571" s="539">
        <v>300</v>
      </c>
      <c r="I571" s="522">
        <v>16.78</v>
      </c>
      <c r="J571" s="523">
        <v>1.61</v>
      </c>
      <c r="K571" s="523">
        <f t="shared" si="116"/>
        <v>5032.3900000000003</v>
      </c>
      <c r="L571" s="521"/>
      <c r="M571" s="523"/>
    </row>
    <row r="572" spans="1:13" x14ac:dyDescent="0.25">
      <c r="A572" s="521"/>
      <c r="B572" s="572">
        <v>42653</v>
      </c>
      <c r="C572" s="521">
        <v>6</v>
      </c>
      <c r="D572" s="522">
        <v>15.72</v>
      </c>
      <c r="E572" s="523">
        <v>0</v>
      </c>
      <c r="F572" s="523">
        <f t="shared" si="117"/>
        <v>94.320000000000007</v>
      </c>
      <c r="G572" s="520">
        <v>42704</v>
      </c>
      <c r="H572" s="539">
        <v>1000</v>
      </c>
      <c r="I572" s="522">
        <v>17.079999999999998</v>
      </c>
      <c r="J572" s="523">
        <v>0.37</v>
      </c>
      <c r="K572" s="523">
        <f t="shared" si="116"/>
        <v>17079.63</v>
      </c>
      <c r="L572" s="521"/>
      <c r="M572" s="523"/>
    </row>
    <row r="573" spans="1:13" x14ac:dyDescent="0.25">
      <c r="A573" s="521"/>
      <c r="B573" s="572">
        <v>42655</v>
      </c>
      <c r="C573" s="521">
        <v>22</v>
      </c>
      <c r="D573" s="522">
        <v>15.48</v>
      </c>
      <c r="E573" s="523">
        <v>0</v>
      </c>
      <c r="F573" s="523">
        <f>C573*D573+E573</f>
        <v>340.56</v>
      </c>
      <c r="G573" s="520">
        <v>42704</v>
      </c>
      <c r="H573" s="539">
        <v>1000</v>
      </c>
      <c r="I573" s="522">
        <v>17.32</v>
      </c>
      <c r="J573" s="523">
        <v>0.38</v>
      </c>
      <c r="K573" s="523">
        <f t="shared" si="116"/>
        <v>17319.62</v>
      </c>
      <c r="L573" s="521"/>
      <c r="M573" s="523"/>
    </row>
    <row r="574" spans="1:13" x14ac:dyDescent="0.25">
      <c r="A574" s="521"/>
      <c r="B574" s="572">
        <v>42655</v>
      </c>
      <c r="C574" s="521">
        <v>300</v>
      </c>
      <c r="D574" s="522">
        <v>15.48</v>
      </c>
      <c r="E574" s="523">
        <v>0</v>
      </c>
      <c r="F574" s="523">
        <f>C574*D574+E574</f>
        <v>4644</v>
      </c>
      <c r="G574" s="520">
        <v>42704</v>
      </c>
      <c r="H574" s="539">
        <v>500</v>
      </c>
      <c r="I574" s="522">
        <v>17.64</v>
      </c>
      <c r="J574" s="523">
        <v>0.19</v>
      </c>
      <c r="K574" s="523">
        <f t="shared" si="116"/>
        <v>8819.81</v>
      </c>
      <c r="L574" s="521"/>
      <c r="M574" s="523"/>
    </row>
    <row r="575" spans="1:13" x14ac:dyDescent="0.25">
      <c r="A575" s="627"/>
      <c r="B575" s="572">
        <v>42668</v>
      </c>
      <c r="C575" s="521">
        <v>500</v>
      </c>
      <c r="D575" s="522">
        <v>14.26</v>
      </c>
      <c r="E575" s="523">
        <v>-2.5</v>
      </c>
      <c r="F575" s="523">
        <f t="shared" ref="F575:F584" si="118">C575*D575+E575</f>
        <v>7127.5</v>
      </c>
      <c r="G575" s="520">
        <v>42705</v>
      </c>
      <c r="H575" s="539">
        <v>528</v>
      </c>
      <c r="I575" s="522">
        <v>18.7</v>
      </c>
      <c r="J575" s="523">
        <v>0.22</v>
      </c>
      <c r="K575" s="523">
        <f t="shared" si="116"/>
        <v>9873.380000000001</v>
      </c>
      <c r="L575" s="521"/>
      <c r="M575" s="523"/>
    </row>
    <row r="576" spans="1:13" x14ac:dyDescent="0.25">
      <c r="A576" s="627"/>
      <c r="B576" s="572">
        <v>42668</v>
      </c>
      <c r="C576" s="521">
        <v>500</v>
      </c>
      <c r="D576" s="522">
        <v>14.16</v>
      </c>
      <c r="E576" s="523">
        <v>0</v>
      </c>
      <c r="F576" s="523">
        <f t="shared" si="118"/>
        <v>7080</v>
      </c>
      <c r="G576" s="520">
        <v>42711</v>
      </c>
      <c r="H576" s="539">
        <v>500</v>
      </c>
      <c r="I576" s="522">
        <v>18.329999999999998</v>
      </c>
      <c r="J576" s="523">
        <v>0.2</v>
      </c>
      <c r="K576" s="523">
        <f t="shared" si="116"/>
        <v>9164.7999999999993</v>
      </c>
      <c r="L576" s="521"/>
      <c r="M576" s="523"/>
    </row>
    <row r="577" spans="1:13" x14ac:dyDescent="0.25">
      <c r="A577" s="627"/>
      <c r="B577" s="572">
        <v>42670</v>
      </c>
      <c r="C577" s="521">
        <v>500</v>
      </c>
      <c r="D577" s="522">
        <v>14.18</v>
      </c>
      <c r="E577" s="523">
        <v>0</v>
      </c>
      <c r="F577" s="523">
        <f t="shared" si="118"/>
        <v>7090</v>
      </c>
      <c r="G577" s="520">
        <v>42713</v>
      </c>
      <c r="H577" s="539">
        <v>500</v>
      </c>
      <c r="I577" s="522">
        <v>18.28</v>
      </c>
      <c r="J577" s="523">
        <v>0.2</v>
      </c>
      <c r="K577" s="523">
        <f t="shared" si="116"/>
        <v>9139.7999999999993</v>
      </c>
      <c r="L577" s="521"/>
      <c r="M577" s="523"/>
    </row>
    <row r="578" spans="1:13" x14ac:dyDescent="0.25">
      <c r="A578" s="627"/>
      <c r="B578" s="572">
        <v>42670</v>
      </c>
      <c r="C578" s="521">
        <v>500</v>
      </c>
      <c r="D578" s="522">
        <v>14.05</v>
      </c>
      <c r="E578" s="523">
        <v>0</v>
      </c>
      <c r="F578" s="523">
        <f t="shared" si="118"/>
        <v>7025</v>
      </c>
      <c r="G578" s="520">
        <v>42718</v>
      </c>
      <c r="H578" s="539">
        <v>200</v>
      </c>
      <c r="I578" s="522">
        <v>18.78</v>
      </c>
      <c r="J578" s="523">
        <v>0.08</v>
      </c>
      <c r="K578" s="523">
        <f t="shared" si="116"/>
        <v>3755.92</v>
      </c>
      <c r="L578" s="521"/>
      <c r="M578" s="523"/>
    </row>
    <row r="579" spans="1:13" x14ac:dyDescent="0.25">
      <c r="A579" s="627"/>
      <c r="B579" s="572">
        <v>42670</v>
      </c>
      <c r="C579" s="521">
        <v>500</v>
      </c>
      <c r="D579" s="522">
        <v>13.88</v>
      </c>
      <c r="E579" s="523">
        <v>0</v>
      </c>
      <c r="F579" s="523">
        <f t="shared" si="118"/>
        <v>6940</v>
      </c>
      <c r="G579" s="520">
        <v>42734</v>
      </c>
      <c r="H579" s="539">
        <v>1000</v>
      </c>
      <c r="I579" s="522">
        <v>17.72</v>
      </c>
      <c r="J579" s="523">
        <v>0.39</v>
      </c>
      <c r="K579" s="523">
        <f t="shared" si="116"/>
        <v>17719.61</v>
      </c>
      <c r="L579" s="521"/>
      <c r="M579" s="523"/>
    </row>
    <row r="580" spans="1:13" x14ac:dyDescent="0.25">
      <c r="A580" s="521"/>
      <c r="B580" s="572">
        <v>42671</v>
      </c>
      <c r="C580" s="521">
        <v>1000</v>
      </c>
      <c r="D580" s="522">
        <v>14.15</v>
      </c>
      <c r="E580" s="523">
        <v>0</v>
      </c>
      <c r="F580" s="523">
        <f t="shared" si="118"/>
        <v>14150</v>
      </c>
      <c r="G580" s="520">
        <v>42739</v>
      </c>
      <c r="H580" s="539">
        <v>500</v>
      </c>
      <c r="I580" s="522">
        <v>18.079999999999998</v>
      </c>
      <c r="J580" s="523">
        <v>0.2</v>
      </c>
      <c r="K580" s="523">
        <f t="shared" si="116"/>
        <v>9039.7999999999993</v>
      </c>
      <c r="L580" s="521"/>
      <c r="M580" s="523"/>
    </row>
    <row r="581" spans="1:13" x14ac:dyDescent="0.25">
      <c r="A581" s="521"/>
      <c r="B581" s="572">
        <v>42674</v>
      </c>
      <c r="C581" s="521">
        <v>300</v>
      </c>
      <c r="D581" s="522">
        <v>13.28</v>
      </c>
      <c r="E581" s="523">
        <v>-1.5</v>
      </c>
      <c r="F581" s="523">
        <f t="shared" si="118"/>
        <v>3982.5</v>
      </c>
      <c r="G581" s="520">
        <v>42748</v>
      </c>
      <c r="H581" s="539">
        <v>500</v>
      </c>
      <c r="I581" s="522">
        <v>17.48</v>
      </c>
      <c r="J581" s="523">
        <v>0.19</v>
      </c>
      <c r="K581" s="523">
        <f t="shared" si="116"/>
        <v>8739.81</v>
      </c>
      <c r="L581" s="521"/>
      <c r="M581" s="523"/>
    </row>
    <row r="582" spans="1:13" x14ac:dyDescent="0.25">
      <c r="A582" s="521"/>
      <c r="B582" s="572">
        <v>42674</v>
      </c>
      <c r="C582" s="521">
        <v>200</v>
      </c>
      <c r="D582" s="522">
        <v>13.15</v>
      </c>
      <c r="E582" s="523">
        <v>0.02</v>
      </c>
      <c r="F582" s="523">
        <f t="shared" si="118"/>
        <v>2630.02</v>
      </c>
      <c r="G582" s="520">
        <v>42761</v>
      </c>
      <c r="H582" s="539">
        <v>1000</v>
      </c>
      <c r="I582" s="522">
        <v>17.899999999999999</v>
      </c>
      <c r="J582" s="523">
        <v>0.39</v>
      </c>
      <c r="K582" s="523">
        <f t="shared" si="116"/>
        <v>17899.61</v>
      </c>
      <c r="L582" s="521"/>
      <c r="M582" s="523"/>
    </row>
    <row r="583" spans="1:13" x14ac:dyDescent="0.25">
      <c r="A583" s="521"/>
      <c r="B583" s="572">
        <v>42676</v>
      </c>
      <c r="C583" s="521">
        <v>200</v>
      </c>
      <c r="D583" s="522">
        <v>12.89</v>
      </c>
      <c r="E583" s="523">
        <v>0</v>
      </c>
      <c r="F583" s="523">
        <f t="shared" si="118"/>
        <v>2578</v>
      </c>
      <c r="G583" s="520">
        <v>42766</v>
      </c>
      <c r="H583" s="539">
        <v>300</v>
      </c>
      <c r="I583" s="522">
        <v>16.649999999999999</v>
      </c>
      <c r="J583" s="523">
        <v>0.11</v>
      </c>
      <c r="K583" s="523">
        <f t="shared" si="116"/>
        <v>4994.8900000000003</v>
      </c>
      <c r="L583" s="521"/>
      <c r="M583" s="523"/>
    </row>
    <row r="584" spans="1:13" x14ac:dyDescent="0.25">
      <c r="A584" s="521"/>
      <c r="B584" s="572">
        <v>42678</v>
      </c>
      <c r="C584" s="521">
        <v>500</v>
      </c>
      <c r="D584" s="522">
        <v>13.69</v>
      </c>
      <c r="E584" s="523">
        <v>0</v>
      </c>
      <c r="F584" s="523">
        <f t="shared" si="118"/>
        <v>6845</v>
      </c>
      <c r="G584" s="520">
        <v>42767</v>
      </c>
      <c r="H584" s="539">
        <v>612</v>
      </c>
      <c r="I584" s="522">
        <v>17.03</v>
      </c>
      <c r="J584" s="523">
        <v>0.23</v>
      </c>
      <c r="K584" s="523">
        <f t="shared" si="116"/>
        <v>10422.130000000001</v>
      </c>
      <c r="L584" s="521"/>
      <c r="M584" s="523"/>
    </row>
    <row r="585" spans="1:13" x14ac:dyDescent="0.25">
      <c r="A585" s="521"/>
      <c r="B585" s="572">
        <v>42678</v>
      </c>
      <c r="C585" s="521">
        <v>500</v>
      </c>
      <c r="D585" s="522">
        <v>13.69</v>
      </c>
      <c r="E585" s="523">
        <v>0</v>
      </c>
      <c r="F585" s="523">
        <f>C585*D585+E585</f>
        <v>6845</v>
      </c>
      <c r="G585" s="520">
        <v>42767</v>
      </c>
      <c r="H585" s="539">
        <v>288</v>
      </c>
      <c r="I585" s="522">
        <v>17.12</v>
      </c>
      <c r="J585" s="523">
        <v>0.11</v>
      </c>
      <c r="K585" s="523">
        <f t="shared" si="116"/>
        <v>4930.4500000000007</v>
      </c>
      <c r="L585" s="521"/>
      <c r="M585" s="523"/>
    </row>
    <row r="586" spans="1:13" x14ac:dyDescent="0.25">
      <c r="A586" s="521"/>
      <c r="B586" s="572">
        <v>42691</v>
      </c>
      <c r="C586" s="521">
        <v>150</v>
      </c>
      <c r="D586" s="522">
        <v>15.48</v>
      </c>
      <c r="E586" s="523">
        <v>0</v>
      </c>
      <c r="F586" s="523">
        <f t="shared" ref="F586:F602" si="119">C586*D586+E586</f>
        <v>2322</v>
      </c>
      <c r="G586" s="520">
        <v>42767</v>
      </c>
      <c r="H586" s="539">
        <v>700</v>
      </c>
      <c r="I586" s="522">
        <v>16.57</v>
      </c>
      <c r="J586" s="523">
        <v>0.25</v>
      </c>
      <c r="K586" s="523">
        <f t="shared" si="116"/>
        <v>11598.75</v>
      </c>
      <c r="L586" s="521"/>
      <c r="M586" s="523"/>
    </row>
    <row r="587" spans="1:13" x14ac:dyDescent="0.25">
      <c r="A587" s="521"/>
      <c r="B587" s="572">
        <v>42691</v>
      </c>
      <c r="C587" s="521">
        <v>300</v>
      </c>
      <c r="D587" s="522">
        <v>15.48</v>
      </c>
      <c r="E587" s="523">
        <v>0</v>
      </c>
      <c r="F587" s="523">
        <f t="shared" si="119"/>
        <v>4644</v>
      </c>
      <c r="G587" s="520">
        <v>42768</v>
      </c>
      <c r="H587" s="539">
        <v>200</v>
      </c>
      <c r="I587" s="522">
        <v>16.7</v>
      </c>
      <c r="J587" s="523">
        <v>7.0000000000000007E-2</v>
      </c>
      <c r="K587" s="523">
        <f t="shared" si="116"/>
        <v>3339.93</v>
      </c>
      <c r="L587" s="521"/>
      <c r="M587" s="523"/>
    </row>
    <row r="588" spans="1:13" x14ac:dyDescent="0.25">
      <c r="A588" s="521"/>
      <c r="B588" s="572">
        <v>42696</v>
      </c>
      <c r="C588" s="521">
        <v>1000</v>
      </c>
      <c r="D588" s="522">
        <v>16.12</v>
      </c>
      <c r="E588" s="523">
        <v>0</v>
      </c>
      <c r="F588" s="523">
        <f t="shared" si="119"/>
        <v>16120.000000000002</v>
      </c>
      <c r="G588" s="520">
        <v>42768</v>
      </c>
      <c r="H588" s="539">
        <v>500</v>
      </c>
      <c r="I588" s="522">
        <v>16.600000000000001</v>
      </c>
      <c r="J588" s="523">
        <v>-1.82</v>
      </c>
      <c r="K588" s="523">
        <f t="shared" si="116"/>
        <v>8301.82</v>
      </c>
      <c r="L588" s="521"/>
      <c r="M588" s="523"/>
    </row>
    <row r="589" spans="1:13" x14ac:dyDescent="0.25">
      <c r="A589" s="521"/>
      <c r="B589" s="572">
        <v>42699</v>
      </c>
      <c r="C589" s="521">
        <v>200</v>
      </c>
      <c r="D589" s="522">
        <v>16.28</v>
      </c>
      <c r="E589" s="523">
        <v>0</v>
      </c>
      <c r="F589" s="523">
        <f t="shared" si="119"/>
        <v>3256</v>
      </c>
      <c r="G589" s="520">
        <v>42768</v>
      </c>
      <c r="H589" s="539">
        <v>500</v>
      </c>
      <c r="I589" s="522">
        <v>16.75</v>
      </c>
      <c r="J589" s="523">
        <v>0.18</v>
      </c>
      <c r="K589" s="523">
        <f t="shared" si="116"/>
        <v>8374.82</v>
      </c>
      <c r="L589" s="521"/>
      <c r="M589" s="523"/>
    </row>
    <row r="590" spans="1:13" x14ac:dyDescent="0.25">
      <c r="A590" s="627"/>
      <c r="B590" s="572">
        <v>42699</v>
      </c>
      <c r="C590" s="521">
        <v>500</v>
      </c>
      <c r="D590" s="522">
        <v>16.16</v>
      </c>
      <c r="E590" s="523">
        <v>0</v>
      </c>
      <c r="F590" s="523">
        <f t="shared" si="119"/>
        <v>8080</v>
      </c>
      <c r="G590" s="520">
        <v>42769</v>
      </c>
      <c r="H590" s="628">
        <v>400</v>
      </c>
      <c r="I590" s="629">
        <v>16.95</v>
      </c>
      <c r="J590" s="630">
        <v>0.15</v>
      </c>
      <c r="K590" s="630">
        <f t="shared" si="116"/>
        <v>6779.85</v>
      </c>
      <c r="L590" s="521"/>
      <c r="M590" s="523"/>
    </row>
    <row r="591" spans="1:13" x14ac:dyDescent="0.25">
      <c r="A591" s="627"/>
      <c r="B591" s="572">
        <v>42702</v>
      </c>
      <c r="C591" s="521">
        <v>500</v>
      </c>
      <c r="D591" s="522">
        <v>16.059999999999999</v>
      </c>
      <c r="E591" s="523">
        <v>0</v>
      </c>
      <c r="F591" s="523">
        <f t="shared" si="119"/>
        <v>8029.9999999999991</v>
      </c>
      <c r="G591" s="520">
        <v>42769</v>
      </c>
      <c r="H591" s="628">
        <v>300</v>
      </c>
      <c r="I591" s="629">
        <v>17.32</v>
      </c>
      <c r="J591" s="630">
        <v>0.11</v>
      </c>
      <c r="K591" s="630">
        <f t="shared" si="116"/>
        <v>5195.8900000000003</v>
      </c>
      <c r="L591" s="521"/>
      <c r="M591" s="523"/>
    </row>
    <row r="592" spans="1:13" x14ac:dyDescent="0.25">
      <c r="A592" s="627"/>
      <c r="B592" s="572">
        <v>42702</v>
      </c>
      <c r="C592" s="521">
        <v>200</v>
      </c>
      <c r="D592" s="522">
        <v>15.8</v>
      </c>
      <c r="E592" s="523">
        <v>0</v>
      </c>
      <c r="F592" s="523">
        <f t="shared" si="119"/>
        <v>3160</v>
      </c>
      <c r="G592" s="520">
        <v>42781</v>
      </c>
      <c r="H592" s="539">
        <v>600</v>
      </c>
      <c r="I592" s="522">
        <v>16.52</v>
      </c>
      <c r="J592" s="523">
        <v>0.22</v>
      </c>
      <c r="K592" s="523">
        <f t="shared" si="116"/>
        <v>9911.7800000000007</v>
      </c>
      <c r="L592" s="521"/>
      <c r="M592" s="523"/>
    </row>
    <row r="593" spans="1:13" x14ac:dyDescent="0.25">
      <c r="A593" s="627"/>
      <c r="B593" s="572">
        <v>42702</v>
      </c>
      <c r="C593" s="521">
        <v>300</v>
      </c>
      <c r="D593" s="522">
        <v>15.65</v>
      </c>
      <c r="E593" s="523">
        <v>0</v>
      </c>
      <c r="F593" s="523">
        <f t="shared" si="119"/>
        <v>4695</v>
      </c>
      <c r="G593" s="520">
        <v>42781</v>
      </c>
      <c r="H593" s="539">
        <v>300</v>
      </c>
      <c r="I593" s="522">
        <v>16.440000000000001</v>
      </c>
      <c r="J593" s="523">
        <v>0.11</v>
      </c>
      <c r="K593" s="523">
        <f t="shared" si="116"/>
        <v>4931.8900000000003</v>
      </c>
      <c r="L593" s="521"/>
      <c r="M593" s="523"/>
    </row>
    <row r="594" spans="1:13" x14ac:dyDescent="0.25">
      <c r="A594" s="521"/>
      <c r="B594" s="572">
        <v>42703</v>
      </c>
      <c r="C594" s="521">
        <v>300</v>
      </c>
      <c r="D594" s="522">
        <v>14.78</v>
      </c>
      <c r="E594" s="523">
        <v>0</v>
      </c>
      <c r="F594" s="523">
        <f t="shared" si="119"/>
        <v>4434</v>
      </c>
      <c r="G594" s="520">
        <v>42782</v>
      </c>
      <c r="H594" s="539">
        <v>300</v>
      </c>
      <c r="I594" s="522">
        <v>17</v>
      </c>
      <c r="J594" s="523">
        <v>0.11</v>
      </c>
      <c r="K594" s="523">
        <f t="shared" si="116"/>
        <v>5099.8900000000003</v>
      </c>
      <c r="L594" s="521"/>
      <c r="M594" s="523"/>
    </row>
    <row r="595" spans="1:13" x14ac:dyDescent="0.25">
      <c r="A595" s="521"/>
      <c r="B595" s="572">
        <v>42705</v>
      </c>
      <c r="C595" s="521">
        <v>350</v>
      </c>
      <c r="D595" s="522">
        <v>17.600000000000001</v>
      </c>
      <c r="E595" s="523">
        <v>0</v>
      </c>
      <c r="F595" s="523">
        <f t="shared" si="119"/>
        <v>6160.0000000000009</v>
      </c>
      <c r="G595" s="521"/>
      <c r="H595" s="539"/>
      <c r="I595" s="522"/>
      <c r="J595" s="523"/>
      <c r="K595" s="523"/>
      <c r="L595" s="521"/>
      <c r="M595" s="523"/>
    </row>
    <row r="596" spans="1:13" x14ac:dyDescent="0.25">
      <c r="A596" s="521"/>
      <c r="B596" s="572">
        <v>42711</v>
      </c>
      <c r="C596" s="521">
        <v>500</v>
      </c>
      <c r="D596" s="522">
        <v>18.12</v>
      </c>
      <c r="E596" s="523">
        <v>0</v>
      </c>
      <c r="F596" s="523">
        <f t="shared" si="119"/>
        <v>9060</v>
      </c>
      <c r="G596" s="521"/>
      <c r="H596" s="539"/>
      <c r="I596" s="522"/>
      <c r="J596" s="523"/>
      <c r="K596" s="523"/>
      <c r="L596" s="521"/>
      <c r="M596" s="523"/>
    </row>
    <row r="597" spans="1:13" x14ac:dyDescent="0.25">
      <c r="A597" s="521"/>
      <c r="B597" s="572">
        <v>42713</v>
      </c>
      <c r="C597" s="521">
        <v>500</v>
      </c>
      <c r="D597" s="522">
        <v>18.12</v>
      </c>
      <c r="E597" s="523">
        <v>0</v>
      </c>
      <c r="F597" s="523">
        <f t="shared" si="119"/>
        <v>9060</v>
      </c>
      <c r="G597" s="521"/>
      <c r="H597" s="539"/>
      <c r="I597" s="522"/>
      <c r="J597" s="523"/>
      <c r="K597" s="523"/>
      <c r="L597" s="521"/>
      <c r="M597" s="523"/>
    </row>
    <row r="598" spans="1:13" x14ac:dyDescent="0.25">
      <c r="A598" s="521"/>
      <c r="B598" s="572">
        <v>42718</v>
      </c>
      <c r="C598" s="521">
        <v>200</v>
      </c>
      <c r="D598" s="522">
        <v>18.73</v>
      </c>
      <c r="E598" s="523">
        <v>-1</v>
      </c>
      <c r="F598" s="523">
        <f t="shared" si="119"/>
        <v>3745</v>
      </c>
      <c r="G598" s="521"/>
      <c r="H598" s="539"/>
      <c r="I598" s="522"/>
      <c r="J598" s="523"/>
      <c r="K598" s="523"/>
      <c r="L598" s="521"/>
      <c r="M598" s="523"/>
    </row>
    <row r="599" spans="1:13" x14ac:dyDescent="0.25">
      <c r="A599" s="521"/>
      <c r="B599" s="572">
        <v>42733</v>
      </c>
      <c r="C599" s="521">
        <v>1000</v>
      </c>
      <c r="D599" s="522">
        <v>17.64</v>
      </c>
      <c r="E599" s="523">
        <v>-1.5</v>
      </c>
      <c r="F599" s="523">
        <f t="shared" si="119"/>
        <v>17638.5</v>
      </c>
      <c r="G599" s="521"/>
      <c r="H599" s="539"/>
      <c r="I599" s="522"/>
      <c r="J599" s="523"/>
      <c r="K599" s="523"/>
      <c r="L599" s="521"/>
      <c r="M599" s="523"/>
    </row>
    <row r="600" spans="1:13" x14ac:dyDescent="0.25">
      <c r="A600" s="521"/>
      <c r="B600" s="572">
        <v>42734</v>
      </c>
      <c r="C600" s="521">
        <v>1000</v>
      </c>
      <c r="D600" s="522">
        <v>17.329999999999998</v>
      </c>
      <c r="E600" s="523">
        <v>0</v>
      </c>
      <c r="F600" s="523">
        <f t="shared" si="119"/>
        <v>17330</v>
      </c>
      <c r="G600" s="521"/>
      <c r="H600" s="539"/>
      <c r="I600" s="522"/>
      <c r="J600" s="523"/>
      <c r="K600" s="523"/>
      <c r="L600" s="521"/>
      <c r="M600" s="523"/>
    </row>
    <row r="601" spans="1:13" x14ac:dyDescent="0.25">
      <c r="A601" s="521"/>
      <c r="B601" s="572">
        <v>42741</v>
      </c>
      <c r="C601" s="521">
        <v>500</v>
      </c>
      <c r="D601" s="522">
        <v>17.88</v>
      </c>
      <c r="E601" s="523">
        <v>0</v>
      </c>
      <c r="F601" s="523">
        <f t="shared" si="119"/>
        <v>8940</v>
      </c>
      <c r="G601" s="521"/>
      <c r="H601" s="539"/>
      <c r="I601" s="522"/>
      <c r="J601" s="523"/>
      <c r="K601" s="523"/>
      <c r="L601" s="521"/>
      <c r="M601" s="523"/>
    </row>
    <row r="602" spans="1:13" x14ac:dyDescent="0.25">
      <c r="A602" s="521"/>
      <c r="B602" s="572">
        <v>42748</v>
      </c>
      <c r="C602" s="521">
        <v>500</v>
      </c>
      <c r="D602" s="522">
        <v>17.260000000000002</v>
      </c>
      <c r="E602" s="523">
        <v>0</v>
      </c>
      <c r="F602" s="523">
        <f t="shared" si="119"/>
        <v>8630</v>
      </c>
      <c r="G602" s="521"/>
      <c r="H602" s="539"/>
      <c r="I602" s="522"/>
      <c r="J602" s="523"/>
      <c r="K602" s="523"/>
      <c r="L602" s="521"/>
      <c r="M602" s="523"/>
    </row>
    <row r="603" spans="1:13" x14ac:dyDescent="0.25">
      <c r="A603" s="521"/>
      <c r="B603" s="572"/>
      <c r="C603" s="521"/>
      <c r="D603" s="522"/>
      <c r="E603" s="523"/>
      <c r="F603" s="523"/>
      <c r="G603" s="521"/>
      <c r="H603" s="539"/>
      <c r="I603" s="522"/>
      <c r="J603" s="523"/>
      <c r="K603" s="523"/>
      <c r="L603" s="521"/>
      <c r="M603" s="523"/>
    </row>
    <row r="604" spans="1:13" x14ac:dyDescent="0.25">
      <c r="A604" s="521"/>
      <c r="B604" s="572"/>
      <c r="C604" s="521"/>
      <c r="D604" s="522"/>
      <c r="E604" s="523"/>
      <c r="F604" s="523"/>
      <c r="G604" s="521"/>
      <c r="H604" s="539"/>
      <c r="I604" s="522"/>
      <c r="J604" s="523"/>
      <c r="K604" s="523"/>
      <c r="L604" s="521"/>
      <c r="M604" s="523"/>
    </row>
    <row r="605" spans="1:13" x14ac:dyDescent="0.25">
      <c r="A605" s="626"/>
      <c r="B605" s="572"/>
      <c r="C605" s="521"/>
      <c r="D605" s="522"/>
      <c r="E605" s="523"/>
      <c r="F605" s="523"/>
      <c r="G605" s="521"/>
      <c r="H605" s="539"/>
      <c r="I605" s="522"/>
      <c r="J605" s="523"/>
      <c r="K605" s="523"/>
      <c r="L605" s="521"/>
      <c r="M605" s="523"/>
    </row>
    <row r="606" spans="1:13" x14ac:dyDescent="0.25">
      <c r="A606" s="626"/>
      <c r="B606" s="572"/>
      <c r="C606" s="521"/>
      <c r="D606" s="522"/>
      <c r="E606" s="523"/>
      <c r="F606" s="523"/>
      <c r="G606" s="521"/>
      <c r="H606" s="539"/>
      <c r="I606" s="522"/>
      <c r="J606" s="523"/>
      <c r="K606" s="523"/>
      <c r="L606" s="521"/>
      <c r="M606" s="523"/>
    </row>
    <row r="607" spans="1:13" x14ac:dyDescent="0.25">
      <c r="A607" s="626"/>
      <c r="B607" s="572"/>
      <c r="C607" s="521"/>
      <c r="D607" s="522"/>
      <c r="E607" s="523"/>
      <c r="F607" s="523"/>
      <c r="G607" s="521"/>
      <c r="H607" s="539"/>
      <c r="I607" s="522"/>
      <c r="J607" s="523"/>
      <c r="K607" s="523"/>
      <c r="L607" s="521"/>
      <c r="M607" s="523"/>
    </row>
    <row r="608" spans="1:13" x14ac:dyDescent="0.25">
      <c r="A608" s="626"/>
      <c r="B608" s="572"/>
      <c r="C608" s="521"/>
      <c r="D608" s="522"/>
      <c r="E608" s="523"/>
      <c r="F608" s="523"/>
      <c r="G608" s="521"/>
      <c r="H608" s="539"/>
      <c r="I608" s="522"/>
      <c r="J608" s="523"/>
      <c r="K608" s="523"/>
      <c r="L608" s="521"/>
      <c r="M608" s="523"/>
    </row>
    <row r="609" spans="1:13" x14ac:dyDescent="0.25">
      <c r="A609" s="521"/>
      <c r="B609" s="572"/>
      <c r="C609" s="521"/>
      <c r="D609" s="522"/>
      <c r="E609" s="523"/>
      <c r="F609" s="523"/>
      <c r="G609" s="521"/>
      <c r="H609" s="539"/>
      <c r="I609" s="522"/>
      <c r="J609" s="523"/>
      <c r="K609" s="523"/>
      <c r="L609" s="521"/>
      <c r="M609" s="523"/>
    </row>
    <row r="610" spans="1:13" x14ac:dyDescent="0.25">
      <c r="A610" s="521"/>
      <c r="B610" s="572"/>
      <c r="C610" s="521"/>
      <c r="D610" s="522"/>
      <c r="E610" s="523"/>
      <c r="F610" s="523"/>
      <c r="G610" s="521"/>
      <c r="H610" s="539"/>
      <c r="I610" s="522"/>
      <c r="J610" s="523"/>
      <c r="K610" s="523"/>
      <c r="L610" s="521"/>
      <c r="M610" s="523"/>
    </row>
    <row r="611" spans="1:13" x14ac:dyDescent="0.25">
      <c r="A611" s="521"/>
      <c r="B611" s="572"/>
      <c r="C611" s="521"/>
      <c r="D611" s="522"/>
      <c r="E611" s="523"/>
      <c r="F611" s="523"/>
      <c r="G611" s="521"/>
      <c r="H611" s="539"/>
      <c r="I611" s="522"/>
      <c r="J611" s="523"/>
      <c r="K611" s="523"/>
      <c r="L611" s="521"/>
      <c r="M611" s="523"/>
    </row>
    <row r="612" spans="1:13" x14ac:dyDescent="0.25">
      <c r="A612" s="521"/>
      <c r="B612" s="572"/>
      <c r="C612" s="521"/>
      <c r="D612" s="522"/>
      <c r="E612" s="523"/>
      <c r="F612" s="523"/>
      <c r="G612" s="521"/>
      <c r="H612" s="539"/>
      <c r="I612" s="522"/>
      <c r="J612" s="523"/>
      <c r="K612" s="523"/>
      <c r="L612" s="521"/>
      <c r="M612" s="523"/>
    </row>
    <row r="613" spans="1:13" x14ac:dyDescent="0.25">
      <c r="A613" s="521"/>
      <c r="B613" s="572"/>
      <c r="C613" s="521"/>
      <c r="D613" s="522"/>
      <c r="E613" s="523"/>
      <c r="F613" s="523"/>
      <c r="G613" s="521"/>
      <c r="H613" s="539"/>
      <c r="I613" s="522"/>
      <c r="J613" s="523"/>
      <c r="K613" s="523"/>
      <c r="L613" s="521"/>
      <c r="M613" s="523"/>
    </row>
    <row r="614" spans="1:13" x14ac:dyDescent="0.25">
      <c r="A614" s="521"/>
      <c r="B614" s="572"/>
      <c r="C614" s="521"/>
      <c r="D614" s="522"/>
      <c r="E614" s="523"/>
      <c r="F614" s="523"/>
      <c r="G614" s="521"/>
      <c r="H614" s="539"/>
      <c r="I614" s="522"/>
      <c r="J614" s="523"/>
      <c r="K614" s="523"/>
      <c r="L614" s="521"/>
      <c r="M614" s="523"/>
    </row>
    <row r="615" spans="1:13" x14ac:dyDescent="0.25">
      <c r="A615" s="521"/>
      <c r="B615" s="572"/>
      <c r="C615" s="521"/>
      <c r="D615" s="522"/>
      <c r="E615" s="523"/>
      <c r="F615" s="523"/>
      <c r="G615" s="521"/>
      <c r="H615" s="539"/>
      <c r="I615" s="522"/>
      <c r="J615" s="523"/>
      <c r="K615" s="523"/>
      <c r="L615" s="521"/>
      <c r="M615" s="523"/>
    </row>
    <row r="616" spans="1:13" x14ac:dyDescent="0.25">
      <c r="A616" s="521"/>
      <c r="B616" s="572"/>
      <c r="C616" s="521"/>
      <c r="D616" s="522"/>
      <c r="E616" s="523"/>
      <c r="F616" s="523"/>
      <c r="G616" s="521"/>
      <c r="H616" s="539"/>
      <c r="I616" s="522"/>
      <c r="J616" s="523"/>
      <c r="K616" s="523"/>
      <c r="L616" s="521"/>
      <c r="M616" s="523"/>
    </row>
    <row r="617" spans="1:13" x14ac:dyDescent="0.25">
      <c r="A617" s="521"/>
      <c r="B617" s="572"/>
      <c r="C617" s="521"/>
      <c r="D617" s="522"/>
      <c r="E617" s="523"/>
      <c r="F617" s="523"/>
      <c r="G617" s="521"/>
      <c r="H617" s="539"/>
      <c r="I617" s="522"/>
      <c r="J617" s="523"/>
      <c r="K617" s="523"/>
      <c r="L617" s="521"/>
      <c r="M617" s="523"/>
    </row>
    <row r="618" spans="1:13" x14ac:dyDescent="0.25">
      <c r="A618" s="521"/>
      <c r="B618" s="572"/>
      <c r="C618" s="521"/>
      <c r="D618" s="522"/>
      <c r="E618" s="523"/>
      <c r="F618" s="523"/>
      <c r="G618" s="521"/>
      <c r="H618" s="539"/>
      <c r="I618" s="522"/>
      <c r="J618" s="523"/>
      <c r="K618" s="523"/>
      <c r="L618" s="521"/>
      <c r="M618" s="523"/>
    </row>
    <row r="619" spans="1:13" x14ac:dyDescent="0.25">
      <c r="A619" s="521"/>
      <c r="B619" s="572"/>
      <c r="C619" s="521"/>
      <c r="D619" s="522"/>
      <c r="E619" s="523"/>
      <c r="F619" s="523"/>
      <c r="G619" s="521"/>
      <c r="H619" s="539"/>
      <c r="I619" s="522"/>
      <c r="J619" s="523"/>
      <c r="K619" s="523"/>
      <c r="L619" s="521"/>
      <c r="M619" s="523"/>
    </row>
    <row r="620" spans="1:13" x14ac:dyDescent="0.25">
      <c r="A620" s="521"/>
      <c r="B620" s="572"/>
      <c r="C620" s="521"/>
      <c r="D620" s="522"/>
      <c r="E620" s="523"/>
      <c r="F620" s="523"/>
      <c r="G620" s="521"/>
      <c r="H620" s="539"/>
      <c r="I620" s="522"/>
      <c r="J620" s="523"/>
      <c r="K620" s="523"/>
      <c r="L620" s="521"/>
      <c r="M620" s="523"/>
    </row>
    <row r="621" spans="1:13" x14ac:dyDescent="0.25">
      <c r="A621" s="521"/>
      <c r="B621" s="572"/>
      <c r="C621" s="521"/>
      <c r="D621" s="522"/>
      <c r="E621" s="523"/>
      <c r="F621" s="523"/>
      <c r="G621" s="521"/>
      <c r="H621" s="539"/>
      <c r="I621" s="522"/>
      <c r="J621" s="523"/>
      <c r="K621" s="523"/>
      <c r="L621" s="521"/>
      <c r="M621" s="523"/>
    </row>
    <row r="622" spans="1:13" x14ac:dyDescent="0.25">
      <c r="A622" s="521"/>
      <c r="B622" s="572"/>
      <c r="C622" s="521"/>
      <c r="D622" s="522"/>
      <c r="E622" s="523"/>
      <c r="F622" s="523"/>
      <c r="G622" s="521"/>
      <c r="H622" s="539"/>
      <c r="I622" s="522"/>
      <c r="J622" s="523"/>
      <c r="K622" s="523"/>
      <c r="L622" s="521"/>
      <c r="M622" s="523"/>
    </row>
    <row r="623" spans="1:13" x14ac:dyDescent="0.25">
      <c r="A623" s="521"/>
      <c r="B623" s="572"/>
      <c r="C623" s="521"/>
      <c r="D623" s="522"/>
      <c r="E623" s="523"/>
      <c r="F623" s="523"/>
      <c r="G623" s="521"/>
      <c r="H623" s="539"/>
      <c r="I623" s="522"/>
      <c r="J623" s="523"/>
      <c r="K623" s="523"/>
      <c r="L623" s="521"/>
      <c r="M623" s="523"/>
    </row>
    <row r="624" spans="1:13" x14ac:dyDescent="0.25">
      <c r="A624" s="521"/>
      <c r="B624" s="572"/>
      <c r="C624" s="521"/>
      <c r="D624" s="522"/>
      <c r="E624" s="523"/>
      <c r="F624" s="523"/>
      <c r="G624" s="521"/>
      <c r="H624" s="539"/>
      <c r="I624" s="522"/>
      <c r="J624" s="523"/>
      <c r="K624" s="523"/>
      <c r="L624" s="521"/>
      <c r="M624" s="523"/>
    </row>
    <row r="625" spans="1:13" x14ac:dyDescent="0.25">
      <c r="A625" s="521"/>
      <c r="B625" s="572"/>
      <c r="C625" s="521"/>
      <c r="D625" s="522"/>
      <c r="E625" s="523"/>
      <c r="F625" s="523"/>
      <c r="G625" s="521"/>
      <c r="H625" s="539"/>
      <c r="I625" s="522"/>
      <c r="J625" s="523"/>
      <c r="K625" s="523"/>
      <c r="L625" s="521"/>
      <c r="M625" s="523"/>
    </row>
    <row r="626" spans="1:13" x14ac:dyDescent="0.25">
      <c r="A626" s="541" t="s">
        <v>81</v>
      </c>
      <c r="B626" s="631"/>
      <c r="C626" s="565">
        <f>SUM(C365:C625)</f>
        <v>133812</v>
      </c>
      <c r="D626" s="543"/>
      <c r="E626" s="543"/>
      <c r="F626" s="543">
        <f>SUM(F365:F625)</f>
        <v>1899450.8389999999</v>
      </c>
      <c r="G626" s="542"/>
      <c r="H626" s="565">
        <f>SUM(H365:H625)</f>
        <v>133812</v>
      </c>
      <c r="I626" s="632"/>
      <c r="J626" s="543"/>
      <c r="K626" s="543">
        <f>SUM(K365:K625)</f>
        <v>1911314.2100000016</v>
      </c>
      <c r="L626" s="542"/>
      <c r="M626" s="543">
        <f>SUM(M365:M375)</f>
        <v>2752.2000000000003</v>
      </c>
    </row>
    <row r="627" spans="1:13" ht="15.75" thickBot="1" x14ac:dyDescent="0.3">
      <c r="A627" s="544" t="s">
        <v>195</v>
      </c>
      <c r="B627" s="633"/>
      <c r="C627" s="546">
        <f>SumByColor($A$50, C365:C625)</f>
        <v>0</v>
      </c>
      <c r="D627" s="546"/>
      <c r="E627" s="546"/>
      <c r="F627" s="547">
        <f>SumByColor($A$50, F365:F625)</f>
        <v>0</v>
      </c>
      <c r="G627" s="546"/>
      <c r="H627" s="546">
        <f>SumByColor($A$50, H365:H625)</f>
        <v>0</v>
      </c>
      <c r="I627" s="546"/>
      <c r="J627" s="547"/>
      <c r="K627" s="547">
        <f>SumByColor($A$50, K365:K625)</f>
        <v>0</v>
      </c>
      <c r="L627" s="546"/>
      <c r="M627" s="547">
        <f>SumByColor($A$50, M365:M625)</f>
        <v>0</v>
      </c>
    </row>
    <row r="628" spans="1:13" x14ac:dyDescent="0.25">
      <c r="A628" s="521"/>
      <c r="B628" s="572"/>
      <c r="C628" s="521"/>
      <c r="D628" s="522"/>
      <c r="E628" s="523"/>
      <c r="F628" s="523"/>
      <c r="G628" s="521"/>
      <c r="H628" s="539"/>
      <c r="I628" s="522"/>
      <c r="J628" s="523"/>
      <c r="K628" s="523"/>
      <c r="L628" s="521"/>
      <c r="M628" s="523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112" priority="109">
      <formula>F111&gt;0</formula>
    </cfRule>
    <cfRule type="expression" dxfId="1111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110" priority="102">
      <formula>F104&gt;0</formula>
    </cfRule>
    <cfRule type="expression" dxfId="1109" priority="103">
      <formula>F104&lt;0</formula>
    </cfRule>
  </conditionalFormatting>
  <conditionalFormatting sqref="H104:H110">
    <cfRule type="expression" dxfId="1108" priority="98">
      <formula>H104&gt;0</formula>
    </cfRule>
    <cfRule type="expression" dxfId="1107" priority="99">
      <formula>H104&lt;0</formula>
    </cfRule>
  </conditionalFormatting>
  <conditionalFormatting sqref="Q8">
    <cfRule type="expression" dxfId="1106" priority="84">
      <formula>Q8&gt;0</formula>
    </cfRule>
    <cfRule type="expression" dxfId="1105" priority="85">
      <formula>Q8&lt;0</formula>
    </cfRule>
  </conditionalFormatting>
  <conditionalFormatting sqref="Q7">
    <cfRule type="expression" dxfId="1104" priority="86">
      <formula>Q7&gt;0</formula>
    </cfRule>
    <cfRule type="expression" dxfId="1103" priority="87">
      <formula>Q7&lt;0</formula>
    </cfRule>
  </conditionalFormatting>
  <conditionalFormatting sqref="F212:F218">
    <cfRule type="expression" dxfId="1102" priority="58">
      <formula>F212&gt;0</formula>
    </cfRule>
    <cfRule type="expression" dxfId="1101" priority="59">
      <formula>F212&lt;0</formula>
    </cfRule>
  </conditionalFormatting>
  <conditionalFormatting sqref="F137:F155 H137:H155">
    <cfRule type="expression" dxfId="1100" priority="80">
      <formula>F137&gt;0</formula>
    </cfRule>
    <cfRule type="expression" dxfId="1099" priority="81">
      <formula>F137&lt;0</formula>
    </cfRule>
  </conditionalFormatting>
  <conditionalFormatting sqref="F130:F136">
    <cfRule type="expression" dxfId="1098" priority="78">
      <formula>F130&gt;0</formula>
    </cfRule>
    <cfRule type="expression" dxfId="1097" priority="79">
      <formula>F130&lt;0</formula>
    </cfRule>
  </conditionalFormatting>
  <conditionalFormatting sqref="H130:H136">
    <cfRule type="expression" dxfId="1096" priority="76">
      <formula>H130&gt;0</formula>
    </cfRule>
    <cfRule type="expression" dxfId="1095" priority="77">
      <formula>H130&lt;0</formula>
    </cfRule>
  </conditionalFormatting>
  <conditionalFormatting sqref="F163:F181 H163:H181">
    <cfRule type="expression" dxfId="1094" priority="74">
      <formula>F163&gt;0</formula>
    </cfRule>
    <cfRule type="expression" dxfId="1093" priority="75">
      <formula>F163&lt;0</formula>
    </cfRule>
  </conditionalFormatting>
  <conditionalFormatting sqref="F156:F162">
    <cfRule type="expression" dxfId="1092" priority="72">
      <formula>F156&gt;0</formula>
    </cfRule>
    <cfRule type="expression" dxfId="1091" priority="73">
      <formula>F156&lt;0</formula>
    </cfRule>
  </conditionalFormatting>
  <conditionalFormatting sqref="H156:H162">
    <cfRule type="expression" dxfId="1090" priority="70">
      <formula>H156&gt;0</formula>
    </cfRule>
    <cfRule type="expression" dxfId="1089" priority="71">
      <formula>H156&lt;0</formula>
    </cfRule>
  </conditionalFormatting>
  <conditionalFormatting sqref="F189:F206 H189:H206">
    <cfRule type="expression" dxfId="1088" priority="68">
      <formula>F189&gt;0</formula>
    </cfRule>
    <cfRule type="expression" dxfId="1087" priority="69">
      <formula>F189&lt;0</formula>
    </cfRule>
  </conditionalFormatting>
  <conditionalFormatting sqref="F182:F188">
    <cfRule type="expression" dxfId="1086" priority="66">
      <formula>F182&gt;0</formula>
    </cfRule>
    <cfRule type="expression" dxfId="1085" priority="67">
      <formula>F182&lt;0</formula>
    </cfRule>
  </conditionalFormatting>
  <conditionalFormatting sqref="H182:H188">
    <cfRule type="expression" dxfId="1084" priority="64">
      <formula>H182&gt;0</formula>
    </cfRule>
    <cfRule type="expression" dxfId="1083" priority="65">
      <formula>H182&lt;0</formula>
    </cfRule>
  </conditionalFormatting>
  <conditionalFormatting sqref="F207:F211 H207:H211">
    <cfRule type="expression" dxfId="1082" priority="62">
      <formula>F207&gt;0</formula>
    </cfRule>
    <cfRule type="expression" dxfId="1081" priority="63">
      <formula>F207&lt;0</formula>
    </cfRule>
  </conditionalFormatting>
  <conditionalFormatting sqref="F219:F234 H219:H234">
    <cfRule type="expression" dxfId="1080" priority="60">
      <formula>F219&gt;0</formula>
    </cfRule>
    <cfRule type="expression" dxfId="1079" priority="61">
      <formula>F219&lt;0</formula>
    </cfRule>
  </conditionalFormatting>
  <conditionalFormatting sqref="H212:H218">
    <cfRule type="expression" dxfId="1078" priority="56">
      <formula>H212&gt;0</formula>
    </cfRule>
    <cfRule type="expression" dxfId="1077" priority="57">
      <formula>H212&lt;0</formula>
    </cfRule>
  </conditionalFormatting>
  <conditionalFormatting sqref="F235 H235">
    <cfRule type="expression" dxfId="1076" priority="54">
      <formula>F235&gt;0</formula>
    </cfRule>
    <cfRule type="expression" dxfId="1075" priority="55">
      <formula>F235&lt;0</formula>
    </cfRule>
  </conditionalFormatting>
  <conditionalFormatting sqref="F236:F240 H236:H240">
    <cfRule type="expression" dxfId="1074" priority="52">
      <formula>F236&gt;0</formula>
    </cfRule>
    <cfRule type="expression" dxfId="1073" priority="53">
      <formula>F236&lt;0</formula>
    </cfRule>
  </conditionalFormatting>
  <conditionalFormatting sqref="F248:F263 H248:H263">
    <cfRule type="expression" dxfId="1072" priority="50">
      <formula>F248&gt;0</formula>
    </cfRule>
    <cfRule type="expression" dxfId="1071" priority="51">
      <formula>F248&lt;0</formula>
    </cfRule>
  </conditionalFormatting>
  <conditionalFormatting sqref="F241:F247">
    <cfRule type="expression" dxfId="1070" priority="48">
      <formula>F241&gt;0</formula>
    </cfRule>
    <cfRule type="expression" dxfId="1069" priority="49">
      <formula>F241&lt;0</formula>
    </cfRule>
  </conditionalFormatting>
  <conditionalFormatting sqref="H241:H247">
    <cfRule type="expression" dxfId="1068" priority="46">
      <formula>H241&gt;0</formula>
    </cfRule>
    <cfRule type="expression" dxfId="1067" priority="47">
      <formula>H241&lt;0</formula>
    </cfRule>
  </conditionalFormatting>
  <conditionalFormatting sqref="F265:F270 H265:H270">
    <cfRule type="expression" dxfId="1066" priority="44">
      <formula>F265&gt;0</formula>
    </cfRule>
    <cfRule type="expression" dxfId="1065" priority="45">
      <formula>F265&lt;0</formula>
    </cfRule>
  </conditionalFormatting>
  <conditionalFormatting sqref="F271 H271">
    <cfRule type="expression" dxfId="1064" priority="42">
      <formula>F271&gt;0</formula>
    </cfRule>
    <cfRule type="expression" dxfId="1063" priority="43">
      <formula>F271&lt;0</formula>
    </cfRule>
  </conditionalFormatting>
  <conditionalFormatting sqref="F272:F276 H272:H276">
    <cfRule type="expression" dxfId="1062" priority="40">
      <formula>F272&gt;0</formula>
    </cfRule>
    <cfRule type="expression" dxfId="1061" priority="41">
      <formula>F272&lt;0</formula>
    </cfRule>
  </conditionalFormatting>
  <conditionalFormatting sqref="F284:F299 H284:H299">
    <cfRule type="expression" dxfId="1060" priority="38">
      <formula>F284&gt;0</formula>
    </cfRule>
    <cfRule type="expression" dxfId="1059" priority="39">
      <formula>F284&lt;0</formula>
    </cfRule>
  </conditionalFormatting>
  <conditionalFormatting sqref="F277:F283">
    <cfRule type="expression" dxfId="1058" priority="36">
      <formula>F277&gt;0</formula>
    </cfRule>
    <cfRule type="expression" dxfId="1057" priority="37">
      <formula>F277&lt;0</formula>
    </cfRule>
  </conditionalFormatting>
  <conditionalFormatting sqref="H277:H283">
    <cfRule type="expression" dxfId="1056" priority="34">
      <formula>H277&gt;0</formula>
    </cfRule>
    <cfRule type="expression" dxfId="1055" priority="35">
      <formula>H277&lt;0</formula>
    </cfRule>
  </conditionalFormatting>
  <conditionalFormatting sqref="F300:F305 H300:H305">
    <cfRule type="expression" dxfId="1054" priority="32">
      <formula>F300&gt;0</formula>
    </cfRule>
    <cfRule type="expression" dxfId="1053" priority="33">
      <formula>F300&lt;0</formula>
    </cfRule>
  </conditionalFormatting>
  <conditionalFormatting sqref="F306 H306">
    <cfRule type="expression" dxfId="1052" priority="30">
      <formula>F306&gt;0</formula>
    </cfRule>
    <cfRule type="expression" dxfId="1051" priority="31">
      <formula>F306&lt;0</formula>
    </cfRule>
  </conditionalFormatting>
  <conditionalFormatting sqref="F307:F311 H307:H311">
    <cfRule type="expression" dxfId="1050" priority="28">
      <formula>F307&gt;0</formula>
    </cfRule>
    <cfRule type="expression" dxfId="1049" priority="29">
      <formula>F307&lt;0</formula>
    </cfRule>
  </conditionalFormatting>
  <conditionalFormatting sqref="F319:F334 H319:H334">
    <cfRule type="expression" dxfId="1048" priority="26">
      <formula>F319&gt;0</formula>
    </cfRule>
    <cfRule type="expression" dxfId="1047" priority="27">
      <formula>F319&lt;0</formula>
    </cfRule>
  </conditionalFormatting>
  <conditionalFormatting sqref="F312:F318">
    <cfRule type="expression" dxfId="1046" priority="24">
      <formula>F312&gt;0</formula>
    </cfRule>
    <cfRule type="expression" dxfId="1045" priority="25">
      <formula>F312&lt;0</formula>
    </cfRule>
  </conditionalFormatting>
  <conditionalFormatting sqref="H312:H318">
    <cfRule type="expression" dxfId="1044" priority="22">
      <formula>H312&gt;0</formula>
    </cfRule>
    <cfRule type="expression" dxfId="1043" priority="23">
      <formula>H312&lt;0</formula>
    </cfRule>
  </conditionalFormatting>
  <conditionalFormatting sqref="M363">
    <cfRule type="expression" dxfId="1042" priority="20">
      <formula>M363&gt;0</formula>
    </cfRule>
    <cfRule type="expression" dxfId="1041" priority="21">
      <formula>M363&lt;0</formula>
    </cfRule>
  </conditionalFormatting>
  <conditionalFormatting sqref="F72:F100 H72:H100">
    <cfRule type="expression" dxfId="1040" priority="18">
      <formula>F72&gt;0</formula>
    </cfRule>
    <cfRule type="expression" dxfId="1039" priority="19">
      <formula>F72&lt;0</formula>
    </cfRule>
  </conditionalFormatting>
  <conditionalFormatting sqref="F60:F71">
    <cfRule type="expression" dxfId="1038" priority="16">
      <formula>F60&gt;0</formula>
    </cfRule>
    <cfRule type="expression" dxfId="1037" priority="17">
      <formula>F60&lt;0</formula>
    </cfRule>
  </conditionalFormatting>
  <conditionalFormatting sqref="H60:H71">
    <cfRule type="expression" dxfId="1036" priority="14">
      <formula>H60&gt;0</formula>
    </cfRule>
    <cfRule type="expression" dxfId="1035" priority="15">
      <formula>H60&lt;0</formula>
    </cfRule>
  </conditionalFormatting>
  <conditionalFormatting sqref="F54:F59 H54:H59">
    <cfRule type="expression" dxfId="1034" priority="12">
      <formula>F54&gt;0</formula>
    </cfRule>
    <cfRule type="expression" dxfId="1033" priority="13">
      <formula>F54&lt;0</formula>
    </cfRule>
  </conditionalFormatting>
  <conditionalFormatting sqref="J56:K56">
    <cfRule type="expression" dxfId="1032" priority="10">
      <formula>J56&gt;0</formula>
    </cfRule>
    <cfRule type="expression" dxfId="1031" priority="11">
      <formula>J56&lt;0</formula>
    </cfRule>
  </conditionalFormatting>
  <conditionalFormatting sqref="J57:K63 K62:K100">
    <cfRule type="expression" dxfId="1030" priority="8">
      <formula>J57&gt;0</formula>
    </cfRule>
    <cfRule type="expression" dxfId="1029" priority="9">
      <formula>J57&lt;0</formula>
    </cfRule>
  </conditionalFormatting>
  <conditionalFormatting sqref="L56:L100">
    <cfRule type="expression" dxfId="1028" priority="4">
      <formula>L56&gt;0</formula>
    </cfRule>
    <cfRule type="expression" dxfId="1027" priority="5">
      <formula>L56&lt;0</formula>
    </cfRule>
  </conditionalFormatting>
  <conditionalFormatting sqref="Q10">
    <cfRule type="expression" dxfId="1026" priority="2">
      <formula>Q10&gt;0</formula>
    </cfRule>
    <cfRule type="expression" dxfId="1025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8">
        <v>42718</v>
      </c>
      <c r="C2" s="4">
        <v>200</v>
      </c>
      <c r="D2" s="237">
        <v>34.78</v>
      </c>
      <c r="E2" s="3">
        <v>0</v>
      </c>
      <c r="F2" s="3">
        <f t="shared" ref="F2:F17" si="0">D2*C2+E2</f>
        <v>6956</v>
      </c>
      <c r="G2" s="498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4" t="s">
        <v>366</v>
      </c>
      <c r="W2" s="135"/>
    </row>
    <row r="3" spans="1:23" x14ac:dyDescent="0.25">
      <c r="A3" s="23" t="s">
        <v>71</v>
      </c>
      <c r="B3" s="498">
        <v>42738</v>
      </c>
      <c r="C3" s="4">
        <v>100</v>
      </c>
      <c r="D3" s="237">
        <v>33.78</v>
      </c>
      <c r="E3" s="3">
        <v>0</v>
      </c>
      <c r="F3" s="3">
        <f t="shared" si="0"/>
        <v>3378</v>
      </c>
      <c r="G3" s="452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8">
        <f>IF(Q2=0, Q4, (F28-K28-M28)/Q2)</f>
        <v>29.701340000000002</v>
      </c>
      <c r="T3" s="1" t="s">
        <v>485</v>
      </c>
      <c r="W3" s="135"/>
    </row>
    <row r="4" spans="1:23" x14ac:dyDescent="0.25">
      <c r="B4" s="498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2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0">
        <v>23.11</v>
      </c>
      <c r="R4" s="228">
        <v>-1.9900000000000001E-2</v>
      </c>
      <c r="T4" s="160"/>
      <c r="W4" s="135"/>
    </row>
    <row r="5" spans="1:23" x14ac:dyDescent="0.25">
      <c r="B5" s="498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2"/>
      <c r="I5" s="3"/>
      <c r="J5" s="3"/>
      <c r="K5" s="3"/>
      <c r="L5" s="4"/>
      <c r="M5" s="4"/>
      <c r="N5" s="4"/>
      <c r="O5" s="11" t="s">
        <v>67</v>
      </c>
      <c r="Q5" s="3">
        <f>Q4*Q2</f>
        <v>46220</v>
      </c>
      <c r="W5" s="135"/>
    </row>
    <row r="6" spans="1:23" x14ac:dyDescent="0.25">
      <c r="B6" s="499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2"/>
      <c r="I6" s="3"/>
      <c r="J6" s="3"/>
      <c r="K6" s="3"/>
      <c r="O6" s="11" t="s">
        <v>64</v>
      </c>
      <c r="Q6" s="2">
        <f>Q3*Q2</f>
        <v>59402.68</v>
      </c>
      <c r="T6" t="s">
        <v>553</v>
      </c>
      <c r="W6" s="135"/>
    </row>
    <row r="7" spans="1:23" x14ac:dyDescent="0.25">
      <c r="B7" s="499">
        <v>42788</v>
      </c>
      <c r="C7" s="4">
        <v>200</v>
      </c>
      <c r="D7" s="237">
        <v>33.08</v>
      </c>
      <c r="E7" s="3">
        <v>0</v>
      </c>
      <c r="F7" s="3">
        <f t="shared" si="0"/>
        <v>6616</v>
      </c>
      <c r="G7" s="73"/>
      <c r="H7" s="182"/>
      <c r="I7" s="3"/>
      <c r="J7" s="3"/>
      <c r="K7" s="3"/>
      <c r="O7" s="11" t="s">
        <v>179</v>
      </c>
      <c r="Q7" s="2">
        <f>Q10+Q8</f>
        <v>-11434.710000000014</v>
      </c>
      <c r="R7">
        <v>1900</v>
      </c>
      <c r="W7" s="135"/>
    </row>
    <row r="8" spans="1:23" x14ac:dyDescent="0.25">
      <c r="B8" s="499">
        <v>42793</v>
      </c>
      <c r="C8" s="4">
        <v>200</v>
      </c>
      <c r="D8" s="237">
        <v>32.18</v>
      </c>
      <c r="E8" s="3">
        <v>0</v>
      </c>
      <c r="F8" s="3">
        <f t="shared" si="0"/>
        <v>6436</v>
      </c>
      <c r="G8" s="73"/>
      <c r="H8" s="182"/>
      <c r="I8" s="3"/>
      <c r="J8" s="3"/>
      <c r="K8" s="3"/>
      <c r="O8" s="11" t="s">
        <v>181</v>
      </c>
      <c r="P8" s="34"/>
      <c r="Q8" s="2">
        <f>K28+M28-F28+Q2*Q4</f>
        <v>-13182.680000000008</v>
      </c>
      <c r="W8" s="135"/>
    </row>
    <row r="9" spans="1:23" x14ac:dyDescent="0.25">
      <c r="B9" s="499">
        <v>42796</v>
      </c>
      <c r="C9" s="4">
        <v>200</v>
      </c>
      <c r="D9" s="237">
        <v>31.08</v>
      </c>
      <c r="E9" s="3">
        <v>0</v>
      </c>
      <c r="F9" s="3">
        <f t="shared" si="0"/>
        <v>6216</v>
      </c>
      <c r="G9" s="73"/>
      <c r="H9" s="182"/>
      <c r="I9" s="3"/>
      <c r="J9" s="3"/>
      <c r="K9" s="3"/>
      <c r="O9" s="11" t="s">
        <v>211</v>
      </c>
      <c r="Q9" s="228">
        <f>IF(Q2=0, 0, Q8/Q6)</f>
        <v>-0.22192062715015565</v>
      </c>
      <c r="W9" s="135"/>
    </row>
    <row r="10" spans="1:23" x14ac:dyDescent="0.25">
      <c r="B10" s="499">
        <v>42796</v>
      </c>
      <c r="C10" s="4">
        <v>200</v>
      </c>
      <c r="D10" s="237">
        <v>30.58</v>
      </c>
      <c r="E10" s="3">
        <v>0</v>
      </c>
      <c r="F10" s="3">
        <f t="shared" si="0"/>
        <v>6116</v>
      </c>
      <c r="G10" s="73"/>
      <c r="H10" s="182"/>
      <c r="I10" s="3"/>
      <c r="J10" s="3"/>
      <c r="K10" s="3"/>
      <c r="O10" s="11" t="s">
        <v>210</v>
      </c>
      <c r="P10" s="34"/>
      <c r="Q10" s="2">
        <f>M156</f>
        <v>1747.9699999999939</v>
      </c>
      <c r="W10" s="135"/>
    </row>
    <row r="11" spans="1:23" x14ac:dyDescent="0.25">
      <c r="B11" s="499">
        <v>42796</v>
      </c>
      <c r="C11" s="4">
        <v>200</v>
      </c>
      <c r="D11" s="237">
        <v>30.38</v>
      </c>
      <c r="E11" s="3">
        <v>0</v>
      </c>
      <c r="F11" s="3">
        <f t="shared" si="0"/>
        <v>6076</v>
      </c>
      <c r="G11" s="73"/>
      <c r="H11" s="182"/>
      <c r="I11" s="3"/>
      <c r="J11" s="3"/>
      <c r="K11" s="3"/>
      <c r="O11" s="11" t="s">
        <v>176</v>
      </c>
      <c r="P11" s="34"/>
      <c r="Q11" s="135">
        <f>VALUE(TRIM(CLEAN(MID(U58, FIND("(", U58)+1, 5))))</f>
        <v>1.6299999999999999E-2</v>
      </c>
      <c r="W11" s="135"/>
    </row>
    <row r="12" spans="1:23" x14ac:dyDescent="0.25">
      <c r="B12" s="499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2"/>
      <c r="I12" s="3"/>
      <c r="J12" s="3"/>
      <c r="K12" s="3"/>
      <c r="W12" s="135"/>
    </row>
    <row r="13" spans="1:23" x14ac:dyDescent="0.25">
      <c r="B13" s="499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2"/>
      <c r="I13" s="3"/>
      <c r="J13" s="3"/>
      <c r="K13" s="3"/>
      <c r="W13" s="135"/>
    </row>
    <row r="14" spans="1:23" x14ac:dyDescent="0.25">
      <c r="B14" s="499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2"/>
      <c r="I14" s="3"/>
      <c r="J14" s="3"/>
      <c r="K14" s="3"/>
      <c r="W14" s="135"/>
    </row>
    <row r="15" spans="1:23" x14ac:dyDescent="0.25">
      <c r="B15" s="499">
        <v>42901</v>
      </c>
      <c r="C15" s="4">
        <v>200</v>
      </c>
      <c r="D15" s="237">
        <v>24.38</v>
      </c>
      <c r="E15" s="3">
        <v>0</v>
      </c>
      <c r="F15" s="3">
        <f t="shared" si="0"/>
        <v>4876</v>
      </c>
      <c r="G15" s="73"/>
      <c r="H15" s="182"/>
      <c r="I15" s="3"/>
      <c r="J15" s="3"/>
      <c r="K15" s="3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B16" s="499">
        <v>42904</v>
      </c>
      <c r="C16" s="4">
        <v>200</v>
      </c>
      <c r="D16" s="237">
        <v>21.6</v>
      </c>
      <c r="E16" s="3">
        <v>0</v>
      </c>
      <c r="F16" s="3">
        <f t="shared" si="0"/>
        <v>4320</v>
      </c>
      <c r="G16" s="73"/>
      <c r="H16" s="182"/>
      <c r="I16" s="3"/>
      <c r="J16" s="3"/>
      <c r="K16" s="3"/>
      <c r="O16" s="712">
        <v>42901</v>
      </c>
      <c r="P16" s="708"/>
      <c r="Q16" s="708"/>
      <c r="R16" s="705">
        <v>0.57499999999999996</v>
      </c>
      <c r="S16" s="705">
        <v>0.57999999999999996</v>
      </c>
      <c r="T16" s="708">
        <v>35.6</v>
      </c>
      <c r="U16" s="708">
        <v>36.299999999999997</v>
      </c>
      <c r="V16" s="705"/>
      <c r="W16" s="706"/>
    </row>
    <row r="17" spans="1:23" x14ac:dyDescent="0.25">
      <c r="B17" s="697">
        <v>42962</v>
      </c>
      <c r="C17" s="4">
        <v>100</v>
      </c>
      <c r="D17" s="237">
        <v>23.27</v>
      </c>
      <c r="E17" s="3">
        <v>-0.26</v>
      </c>
      <c r="F17" s="3">
        <f t="shared" si="0"/>
        <v>2326.7399999999998</v>
      </c>
      <c r="G17" s="73"/>
      <c r="H17" s="182"/>
      <c r="I17" s="3"/>
      <c r="J17" s="3"/>
      <c r="K17" s="3"/>
      <c r="O17" s="712">
        <v>42986</v>
      </c>
      <c r="P17" s="708" t="s">
        <v>754</v>
      </c>
      <c r="Q17" s="708" t="s">
        <v>755</v>
      </c>
      <c r="R17" s="707">
        <v>0.39</v>
      </c>
      <c r="S17" s="705"/>
      <c r="T17" s="708">
        <v>27.5</v>
      </c>
      <c r="U17" s="708"/>
      <c r="V17" s="705"/>
      <c r="W17" s="706"/>
    </row>
    <row r="18" spans="1:23" x14ac:dyDescent="0.25">
      <c r="B18" s="499"/>
      <c r="C18" s="4"/>
      <c r="D18" s="237"/>
      <c r="E18" s="3"/>
      <c r="F18" s="3"/>
      <c r="G18" s="73"/>
      <c r="H18" s="182"/>
      <c r="I18" s="3"/>
      <c r="J18" s="3"/>
      <c r="K18" s="3"/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x14ac:dyDescent="0.25">
      <c r="B19" s="499"/>
      <c r="C19" s="4"/>
      <c r="D19" s="237"/>
      <c r="E19" s="3"/>
      <c r="F19" s="3"/>
      <c r="G19" s="73"/>
      <c r="H19" s="182"/>
      <c r="I19" s="3"/>
      <c r="J19" s="3"/>
      <c r="K19" s="3"/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B20" s="499"/>
      <c r="C20" s="4"/>
      <c r="D20" s="237"/>
      <c r="E20" s="3"/>
      <c r="F20" s="3"/>
      <c r="G20" s="4"/>
      <c r="H20" s="4"/>
      <c r="I20" s="3"/>
      <c r="J20" s="3"/>
      <c r="K20" s="3"/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B21" s="499"/>
      <c r="C21" s="4"/>
      <c r="D21" s="237"/>
      <c r="E21" s="3"/>
      <c r="F21" s="3"/>
      <c r="G21" s="4"/>
      <c r="H21" s="4"/>
      <c r="I21" s="3"/>
      <c r="J21" s="3"/>
      <c r="K21" s="3"/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B22" s="499"/>
      <c r="C22" s="4"/>
      <c r="D22" s="237"/>
      <c r="E22" s="3"/>
      <c r="F22" s="3"/>
      <c r="G22" s="4"/>
      <c r="H22" s="4"/>
      <c r="I22" s="3"/>
      <c r="J22" s="3"/>
      <c r="K22" s="3"/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499"/>
      <c r="C23" s="4"/>
      <c r="D23" s="237"/>
      <c r="E23" s="3"/>
      <c r="F23" s="3"/>
      <c r="G23" s="4"/>
      <c r="H23" s="4"/>
      <c r="I23" s="3"/>
      <c r="J23" s="3"/>
      <c r="K23" s="3"/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499"/>
      <c r="C24" s="4"/>
      <c r="D24" s="237"/>
      <c r="E24" s="3"/>
      <c r="F24" s="3"/>
      <c r="G24" s="4"/>
      <c r="H24" s="4"/>
      <c r="I24" s="3"/>
      <c r="J24" s="3"/>
      <c r="K24" s="3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499"/>
      <c r="C25" s="4"/>
      <c r="D25" s="237"/>
      <c r="E25" s="3"/>
      <c r="F25" s="3"/>
      <c r="G25" s="4"/>
      <c r="H25" s="4"/>
      <c r="I25" s="3"/>
      <c r="J25" s="3"/>
      <c r="K25" s="3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30"/>
      <c r="D26" s="79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B27" s="30"/>
      <c r="D27" s="79"/>
      <c r="W27" s="135"/>
    </row>
    <row r="28" spans="1:23" x14ac:dyDescent="0.25">
      <c r="A28" s="32" t="s">
        <v>81</v>
      </c>
      <c r="B28" s="14"/>
      <c r="C28" s="14">
        <f>SUM(C2:C25)</f>
        <v>2500</v>
      </c>
      <c r="D28" s="18"/>
      <c r="E28" s="18"/>
      <c r="F28" s="18">
        <f>SUM(F2:F25)</f>
        <v>74729.240000000005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5"/>
    </row>
    <row r="29" spans="1:23" ht="15.75" thickBot="1" x14ac:dyDescent="0.3">
      <c r="A29" s="351" t="s">
        <v>195</v>
      </c>
      <c r="B29" s="352"/>
      <c r="C29" s="353">
        <f>SumByColor($A$29,C2:C27)</f>
        <v>500</v>
      </c>
      <c r="D29" s="353"/>
      <c r="E29" s="353"/>
      <c r="F29" s="354">
        <f>SumByColor($A$29,F2:F27)</f>
        <v>14794</v>
      </c>
      <c r="G29" s="353"/>
      <c r="H29" s="353">
        <f>SumByColor($A$29,H2:H27)</f>
        <v>500</v>
      </c>
      <c r="I29" s="353"/>
      <c r="J29" s="353"/>
      <c r="K29" s="354">
        <f>SumByColor($A$29,K2:K27)</f>
        <v>15071</v>
      </c>
      <c r="L29" s="353"/>
      <c r="M29" s="354">
        <f>SumByColor($A$29,M2:M27)</f>
        <v>256</v>
      </c>
      <c r="W29" s="135"/>
    </row>
    <row r="30" spans="1:23" x14ac:dyDescent="0.25">
      <c r="W30" s="135"/>
    </row>
    <row r="31" spans="1:23" x14ac:dyDescent="0.25">
      <c r="W31" s="135"/>
    </row>
    <row r="32" spans="1:23" x14ac:dyDescent="0.25">
      <c r="W32" s="135"/>
    </row>
    <row r="33" spans="1:23" x14ac:dyDescent="0.25">
      <c r="W33" s="135"/>
    </row>
    <row r="34" spans="1:23" x14ac:dyDescent="0.25">
      <c r="B34" s="188" t="s">
        <v>113</v>
      </c>
      <c r="C34" s="188" t="s">
        <v>146</v>
      </c>
      <c r="D34" s="189" t="s">
        <v>145</v>
      </c>
      <c r="E34" s="191" t="s">
        <v>147</v>
      </c>
      <c r="F34" s="191" t="s">
        <v>65</v>
      </c>
      <c r="G34" s="226" t="s">
        <v>151</v>
      </c>
      <c r="H34" s="226" t="s">
        <v>88</v>
      </c>
      <c r="I34" s="226" t="s">
        <v>154</v>
      </c>
      <c r="J34" s="226" t="s">
        <v>530</v>
      </c>
      <c r="K34" s="226" t="s">
        <v>150</v>
      </c>
      <c r="L34" s="226" t="s">
        <v>740</v>
      </c>
      <c r="W34" s="135"/>
    </row>
    <row r="35" spans="1:23" x14ac:dyDescent="0.25">
      <c r="A35" t="s">
        <v>353</v>
      </c>
      <c r="B35" s="190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8">
        <f t="shared" ref="H35:H41" si="3">(E35-D35)/D35</f>
        <v>-4.1421408327884717E-3</v>
      </c>
      <c r="I35" s="40">
        <v>34</v>
      </c>
      <c r="J35" s="40"/>
      <c r="K35" s="40"/>
      <c r="L35" s="40"/>
      <c r="W35" s="135"/>
    </row>
    <row r="36" spans="1:23" x14ac:dyDescent="0.25">
      <c r="A36" t="s">
        <v>353</v>
      </c>
      <c r="B36" s="190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8">
        <f t="shared" si="3"/>
        <v>-2.7105588256667524E-2</v>
      </c>
      <c r="I36" s="40"/>
      <c r="J36" s="40"/>
      <c r="K36" s="40"/>
      <c r="L36" s="40"/>
      <c r="W36" s="135"/>
    </row>
    <row r="37" spans="1:23" x14ac:dyDescent="0.25">
      <c r="A37" t="s">
        <v>385</v>
      </c>
      <c r="B37" s="190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8">
        <f t="shared" si="3"/>
        <v>-2.2904340694745579E-2</v>
      </c>
      <c r="I37" s="40">
        <v>33.75</v>
      </c>
      <c r="J37" s="40"/>
      <c r="K37" s="40"/>
      <c r="L37" s="40"/>
      <c r="W37" s="135"/>
    </row>
    <row r="38" spans="1:23" x14ac:dyDescent="0.25">
      <c r="A38" t="s">
        <v>412</v>
      </c>
      <c r="B38" s="190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8">
        <f t="shared" si="3"/>
        <v>-3.5733114638861192E-3</v>
      </c>
      <c r="I38" s="40"/>
      <c r="J38" s="40"/>
      <c r="K38" s="40"/>
      <c r="L38" s="40"/>
      <c r="W38" s="135"/>
    </row>
    <row r="39" spans="1:23" x14ac:dyDescent="0.25">
      <c r="A39" t="s">
        <v>429</v>
      </c>
      <c r="B39" s="190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8">
        <f t="shared" si="3"/>
        <v>-2.6056234358899016E-2</v>
      </c>
      <c r="I39" s="40"/>
      <c r="J39" s="40"/>
      <c r="K39" s="40"/>
      <c r="L39" s="40"/>
      <c r="W39" s="135"/>
    </row>
    <row r="40" spans="1:23" ht="20.25" thickBot="1" x14ac:dyDescent="0.35">
      <c r="A40" t="s">
        <v>386</v>
      </c>
      <c r="B40" s="190">
        <v>42778</v>
      </c>
      <c r="C40" s="579">
        <v>600</v>
      </c>
      <c r="D40" s="650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8">
        <f t="shared" si="3"/>
        <v>-1.4279405270131208E-2</v>
      </c>
      <c r="I40" s="40"/>
      <c r="J40" s="40"/>
      <c r="K40" s="40"/>
      <c r="L40" s="40"/>
      <c r="O40" s="716" t="s">
        <v>78</v>
      </c>
      <c r="P40" s="716"/>
      <c r="W40" s="135"/>
    </row>
    <row r="41" spans="1:23" ht="15.75" thickTop="1" x14ac:dyDescent="0.25">
      <c r="A41" t="s">
        <v>454</v>
      </c>
      <c r="B41" s="190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8">
        <f t="shared" si="3"/>
        <v>2.7209959849797166E-3</v>
      </c>
      <c r="I41" s="44" t="s">
        <v>463</v>
      </c>
      <c r="J41" s="40"/>
      <c r="K41" s="40"/>
      <c r="L41" s="40"/>
      <c r="O41" s="82">
        <v>1.1000000000000001</v>
      </c>
      <c r="P41" s="82">
        <f>O41*$Q$4</f>
        <v>25.421000000000003</v>
      </c>
      <c r="Q41" s="2"/>
      <c r="W41" s="135"/>
    </row>
    <row r="42" spans="1:23" ht="20.25" thickBot="1" x14ac:dyDescent="0.35">
      <c r="A42" t="s">
        <v>355</v>
      </c>
      <c r="B42" s="190">
        <v>42788</v>
      </c>
      <c r="C42" s="579">
        <v>600</v>
      </c>
      <c r="D42" s="650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8">
        <f t="shared" ref="H42" si="6">(E42-D42)/D42</f>
        <v>-1.0774019466586158E-2</v>
      </c>
      <c r="I42" s="650">
        <v>33</v>
      </c>
      <c r="J42" s="40"/>
      <c r="K42" s="40"/>
      <c r="L42" s="40"/>
      <c r="O42" s="82">
        <v>1.0900000000000001</v>
      </c>
      <c r="P42" s="82">
        <f t="shared" ref="P42:P61" si="7">O42*$Q$4</f>
        <v>25.189900000000002</v>
      </c>
      <c r="Q42" s="2"/>
      <c r="T42" s="90" t="s">
        <v>112</v>
      </c>
      <c r="W42" s="135"/>
    </row>
    <row r="43" spans="1:23" ht="15.75" thickTop="1" x14ac:dyDescent="0.25">
      <c r="A43" t="s">
        <v>488</v>
      </c>
      <c r="B43" s="190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8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24.9588</v>
      </c>
      <c r="Q43" s="2"/>
      <c r="T43" s="126" t="s">
        <v>97</v>
      </c>
      <c r="U43" s="97">
        <v>29.69</v>
      </c>
      <c r="W43" s="135"/>
    </row>
    <row r="44" spans="1:23" x14ac:dyDescent="0.25">
      <c r="A44" t="s">
        <v>494</v>
      </c>
      <c r="B44" s="190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8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24.727700000000002</v>
      </c>
      <c r="Q44" s="2"/>
      <c r="T44" s="92" t="s">
        <v>98</v>
      </c>
      <c r="U44" s="87">
        <v>29.69</v>
      </c>
      <c r="W44" s="135"/>
    </row>
    <row r="45" spans="1:23" x14ac:dyDescent="0.25">
      <c r="A45">
        <v>300</v>
      </c>
      <c r="B45" s="190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8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24.496600000000001</v>
      </c>
      <c r="Q45" s="2"/>
      <c r="T45" s="92" t="s">
        <v>99</v>
      </c>
      <c r="U45" s="87" t="s">
        <v>128</v>
      </c>
      <c r="W45" s="135"/>
    </row>
    <row r="46" spans="1:23" x14ac:dyDescent="0.25">
      <c r="A46">
        <v>400</v>
      </c>
      <c r="B46" s="190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8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24.265499999999999</v>
      </c>
      <c r="Q46" s="2"/>
      <c r="T46" s="92" t="s">
        <v>100</v>
      </c>
      <c r="U46" s="87" t="s">
        <v>128</v>
      </c>
      <c r="W46" s="135"/>
    </row>
    <row r="47" spans="1:23" x14ac:dyDescent="0.25">
      <c r="A47">
        <v>200</v>
      </c>
      <c r="B47" s="190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8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24.034400000000002</v>
      </c>
      <c r="Q47" s="2"/>
      <c r="T47" s="92" t="s">
        <v>101</v>
      </c>
      <c r="U47" s="87">
        <v>34.43</v>
      </c>
      <c r="W47" s="135"/>
    </row>
    <row r="48" spans="1:23" x14ac:dyDescent="0.25">
      <c r="A48">
        <v>400</v>
      </c>
      <c r="B48" s="190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8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23.8033</v>
      </c>
      <c r="Q48" s="2"/>
      <c r="T48" s="92" t="s">
        <v>102</v>
      </c>
      <c r="U48" s="87">
        <v>0.28600199999999998</v>
      </c>
      <c r="W48" s="135"/>
    </row>
    <row r="49" spans="1:23" x14ac:dyDescent="0.25">
      <c r="A49">
        <v>1500</v>
      </c>
      <c r="B49" s="190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8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23.572199999999999</v>
      </c>
      <c r="Q49" s="2"/>
      <c r="T49" s="92" t="s">
        <v>103</v>
      </c>
      <c r="U49" s="87" t="s">
        <v>541</v>
      </c>
      <c r="W49" s="135"/>
    </row>
    <row r="50" spans="1:23" x14ac:dyDescent="0.25">
      <c r="A50">
        <v>1500</v>
      </c>
      <c r="B50" s="190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8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23.341100000000001</v>
      </c>
      <c r="Q50" s="2"/>
      <c r="T50" s="92"/>
      <c r="U50" s="87"/>
      <c r="W50" s="135"/>
    </row>
    <row r="51" spans="1:23" x14ac:dyDescent="0.25">
      <c r="A51">
        <v>1500</v>
      </c>
      <c r="B51" s="190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23.11</v>
      </c>
      <c r="Q51" s="2"/>
      <c r="T51" s="92" t="s">
        <v>104</v>
      </c>
      <c r="U51" s="87" t="s">
        <v>642</v>
      </c>
      <c r="W51" s="135"/>
    </row>
    <row r="52" spans="1:23" x14ac:dyDescent="0.25">
      <c r="A52">
        <v>1500</v>
      </c>
      <c r="B52" s="190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8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22.878899999999998</v>
      </c>
      <c r="Q52" s="2"/>
      <c r="T52" s="92" t="s">
        <v>105</v>
      </c>
      <c r="U52" s="87" t="s">
        <v>643</v>
      </c>
      <c r="W52" s="135"/>
    </row>
    <row r="53" spans="1:23" x14ac:dyDescent="0.25">
      <c r="B53" s="190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8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22.6478</v>
      </c>
      <c r="Q53" s="2"/>
      <c r="T53" s="92" t="s">
        <v>106</v>
      </c>
      <c r="U53" s="89">
        <v>7532240</v>
      </c>
      <c r="W53" s="135"/>
    </row>
    <row r="54" spans="1:23" x14ac:dyDescent="0.25">
      <c r="A54">
        <v>1900</v>
      </c>
      <c r="B54" s="190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8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22.416699999999999</v>
      </c>
      <c r="T54" s="92" t="s">
        <v>109</v>
      </c>
      <c r="U54" s="89">
        <v>8478110</v>
      </c>
      <c r="W54" s="135"/>
    </row>
    <row r="55" spans="1:23" x14ac:dyDescent="0.25">
      <c r="A55">
        <v>1900</v>
      </c>
      <c r="B55" s="190">
        <v>42962</v>
      </c>
      <c r="C55" s="10">
        <v>2000</v>
      </c>
      <c r="D55" s="40">
        <v>29.7</v>
      </c>
      <c r="E55" s="40">
        <v>25.28</v>
      </c>
      <c r="F55" s="40">
        <f t="shared" ref="F55" si="41">C55*(E55-D55)</f>
        <v>-8839.9999999999964</v>
      </c>
      <c r="G55" s="40">
        <f t="shared" ref="G55" si="42">D55*C55</f>
        <v>59400</v>
      </c>
      <c r="H55" s="228">
        <f t="shared" ref="H55" si="43">(E55-D55)/D55</f>
        <v>-0.14882154882154877</v>
      </c>
      <c r="I55" s="40"/>
      <c r="J55" s="40"/>
      <c r="K55" s="40">
        <v>-11435</v>
      </c>
      <c r="L55" s="40"/>
      <c r="O55" s="82">
        <v>0.96</v>
      </c>
      <c r="P55" s="82">
        <f t="shared" si="7"/>
        <v>22.185599999999997</v>
      </c>
      <c r="T55" s="92" t="s">
        <v>107</v>
      </c>
      <c r="U55" s="87" t="s">
        <v>644</v>
      </c>
      <c r="W55" s="135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21.954499999999999</v>
      </c>
      <c r="T56" s="92" t="s">
        <v>110</v>
      </c>
      <c r="U56" s="87">
        <v>14.3</v>
      </c>
      <c r="W56" s="135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21.723399999999998</v>
      </c>
      <c r="T57" s="92" t="s">
        <v>111</v>
      </c>
      <c r="U57" s="87">
        <v>2.0499999999999998</v>
      </c>
      <c r="W57" s="135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21.4923</v>
      </c>
      <c r="T58" s="92" t="s">
        <v>108</v>
      </c>
      <c r="U58" s="87" t="s">
        <v>579</v>
      </c>
      <c r="W58" s="135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21.261199999999999</v>
      </c>
      <c r="W59" s="135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21.030100000000001</v>
      </c>
      <c r="W60" s="135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20.798999999999999</v>
      </c>
      <c r="W61" s="135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5"/>
    </row>
    <row r="63" spans="1:23" x14ac:dyDescent="0.25">
      <c r="W63" s="135"/>
    </row>
    <row r="64" spans="1:23" x14ac:dyDescent="0.25">
      <c r="W64" s="135"/>
    </row>
    <row r="65" spans="2:23" x14ac:dyDescent="0.25">
      <c r="B65" s="375">
        <v>42484</v>
      </c>
      <c r="C65" s="376">
        <v>100</v>
      </c>
      <c r="D65" s="377">
        <v>35.917999999999999</v>
      </c>
      <c r="E65" s="377">
        <v>35.58</v>
      </c>
      <c r="F65" s="377">
        <f t="shared" ref="F65:F78" si="44">C65*(E65-D65)</f>
        <v>-33.800000000000097</v>
      </c>
      <c r="G65" s="377">
        <f t="shared" ref="G65:G78" si="45">D65*C65</f>
        <v>3591.7999999999997</v>
      </c>
      <c r="H65" s="378">
        <f t="shared" ref="H65:H78" si="46">(E65-D65)/D65</f>
        <v>-9.410323514672336E-3</v>
      </c>
      <c r="I65" s="377"/>
      <c r="W65" s="135"/>
    </row>
    <row r="66" spans="2:23" x14ac:dyDescent="0.25">
      <c r="B66" s="375">
        <v>42485</v>
      </c>
      <c r="C66" s="376">
        <v>100</v>
      </c>
      <c r="D66" s="377">
        <v>35.917999999999999</v>
      </c>
      <c r="E66" s="377">
        <v>36.770000000000003</v>
      </c>
      <c r="F66" s="377">
        <f t="shared" si="44"/>
        <v>85.200000000000387</v>
      </c>
      <c r="G66" s="377">
        <f t="shared" si="45"/>
        <v>3591.7999999999997</v>
      </c>
      <c r="H66" s="378">
        <f t="shared" si="46"/>
        <v>2.3720697143493622E-2</v>
      </c>
      <c r="I66" s="377"/>
      <c r="O66" s="11" t="s">
        <v>742</v>
      </c>
      <c r="S66" s="23" t="s">
        <v>741</v>
      </c>
      <c r="W66" s="135"/>
    </row>
    <row r="67" spans="2:23" x14ac:dyDescent="0.25">
      <c r="B67" s="375">
        <v>42498</v>
      </c>
      <c r="C67" s="376">
        <v>100</v>
      </c>
      <c r="D67" s="377">
        <v>35.917999999999999</v>
      </c>
      <c r="E67" s="377">
        <v>34.549999999999997</v>
      </c>
      <c r="F67" s="377">
        <f t="shared" si="44"/>
        <v>-136.80000000000021</v>
      </c>
      <c r="G67" s="377">
        <f t="shared" si="45"/>
        <v>3591.7999999999997</v>
      </c>
      <c r="H67" s="378">
        <f t="shared" si="46"/>
        <v>-3.8086753159975562E-2</v>
      </c>
      <c r="I67" s="377"/>
      <c r="W67" s="135"/>
    </row>
    <row r="68" spans="2:23" x14ac:dyDescent="0.25">
      <c r="B68" s="375">
        <v>42508</v>
      </c>
      <c r="C68" s="376">
        <v>140</v>
      </c>
      <c r="D68" s="377">
        <v>35.423999999999999</v>
      </c>
      <c r="E68" s="377">
        <v>34.369999999999997</v>
      </c>
      <c r="F68" s="377">
        <f t="shared" si="44"/>
        <v>-147.56000000000029</v>
      </c>
      <c r="G68" s="377">
        <f t="shared" si="45"/>
        <v>4959.3599999999997</v>
      </c>
      <c r="H68" s="378">
        <f t="shared" si="46"/>
        <v>-2.9753839205058776E-2</v>
      </c>
      <c r="I68" s="377"/>
      <c r="W68" s="135"/>
    </row>
    <row r="69" spans="2:23" x14ac:dyDescent="0.25">
      <c r="B69" s="375">
        <v>42509</v>
      </c>
      <c r="C69" s="376">
        <v>240</v>
      </c>
      <c r="D69" s="377">
        <v>35.034999999999997</v>
      </c>
      <c r="E69" s="377">
        <v>34.83</v>
      </c>
      <c r="F69" s="377">
        <f t="shared" si="44"/>
        <v>-49.199999999999591</v>
      </c>
      <c r="G69" s="377">
        <f t="shared" si="45"/>
        <v>8408.4</v>
      </c>
      <c r="H69" s="378">
        <f t="shared" si="46"/>
        <v>-5.8512915655772315E-3</v>
      </c>
      <c r="I69" s="377"/>
      <c r="W69" s="135"/>
    </row>
    <row r="70" spans="2:23" x14ac:dyDescent="0.25">
      <c r="B70" s="375">
        <v>42514</v>
      </c>
      <c r="C70" s="376">
        <v>200</v>
      </c>
      <c r="D70" s="377">
        <v>34.972000000000001</v>
      </c>
      <c r="E70" s="377">
        <v>35.520000000000003</v>
      </c>
      <c r="F70" s="377">
        <f t="shared" si="44"/>
        <v>109.60000000000036</v>
      </c>
      <c r="G70" s="377">
        <f t="shared" si="45"/>
        <v>6994.4000000000005</v>
      </c>
      <c r="H70" s="378">
        <f t="shared" si="46"/>
        <v>1.5669678600022927E-2</v>
      </c>
      <c r="I70" s="377"/>
    </row>
    <row r="71" spans="2:23" x14ac:dyDescent="0.25">
      <c r="B71" s="375">
        <v>42515</v>
      </c>
      <c r="C71" s="376">
        <v>200</v>
      </c>
      <c r="D71" s="377">
        <v>34.972000000000001</v>
      </c>
      <c r="E71" s="377">
        <v>34.94</v>
      </c>
      <c r="F71" s="377">
        <f t="shared" si="44"/>
        <v>-6.4000000000007162</v>
      </c>
      <c r="G71" s="377">
        <f t="shared" si="45"/>
        <v>6994.4000000000005</v>
      </c>
      <c r="H71" s="378">
        <f t="shared" si="46"/>
        <v>-9.150177284685914E-4</v>
      </c>
      <c r="I71" s="377"/>
    </row>
    <row r="72" spans="2:23" x14ac:dyDescent="0.25">
      <c r="B72" s="375">
        <v>42521</v>
      </c>
      <c r="C72" s="376">
        <v>160</v>
      </c>
      <c r="D72" s="377">
        <v>34.718000000000004</v>
      </c>
      <c r="E72" s="377">
        <v>35.76</v>
      </c>
      <c r="F72" s="377">
        <f t="shared" si="44"/>
        <v>166.71999999999912</v>
      </c>
      <c r="G72" s="377">
        <f t="shared" si="45"/>
        <v>5554.880000000001</v>
      </c>
      <c r="H72" s="378">
        <f t="shared" si="46"/>
        <v>3.0013249611152554E-2</v>
      </c>
      <c r="I72" s="377"/>
    </row>
    <row r="73" spans="2:23" x14ac:dyDescent="0.25">
      <c r="B73" s="375">
        <v>42527</v>
      </c>
      <c r="C73" s="376">
        <v>160</v>
      </c>
      <c r="D73" s="377">
        <v>34.652000000000001</v>
      </c>
      <c r="E73" s="377">
        <v>36.020000000000003</v>
      </c>
      <c r="F73" s="377">
        <f t="shared" si="44"/>
        <v>218.88000000000034</v>
      </c>
      <c r="G73" s="377">
        <f t="shared" si="45"/>
        <v>5544.32</v>
      </c>
      <c r="H73" s="378">
        <f t="shared" si="46"/>
        <v>3.9478240794182211E-2</v>
      </c>
      <c r="I73" s="377"/>
    </row>
    <row r="74" spans="2:23" x14ac:dyDescent="0.25">
      <c r="B74" s="375">
        <v>42498</v>
      </c>
      <c r="C74" s="376">
        <v>160</v>
      </c>
      <c r="D74" s="377">
        <v>34.652000000000001</v>
      </c>
      <c r="E74" s="377">
        <v>36.520000000000003</v>
      </c>
      <c r="F74" s="377">
        <f t="shared" si="44"/>
        <v>298.88000000000034</v>
      </c>
      <c r="G74" s="377">
        <f t="shared" si="45"/>
        <v>5544.32</v>
      </c>
      <c r="H74" s="378">
        <f t="shared" si="46"/>
        <v>5.3907422371003176E-2</v>
      </c>
      <c r="I74" s="377"/>
    </row>
    <row r="75" spans="2:23" x14ac:dyDescent="0.25">
      <c r="B75" s="375">
        <v>42531</v>
      </c>
      <c r="C75" s="376">
        <v>60</v>
      </c>
      <c r="D75" s="377">
        <v>30.757000000000001</v>
      </c>
      <c r="E75" s="377">
        <v>36.81</v>
      </c>
      <c r="F75" s="377">
        <f t="shared" si="44"/>
        <v>363.18000000000006</v>
      </c>
      <c r="G75" s="377">
        <f t="shared" si="45"/>
        <v>1845.42</v>
      </c>
      <c r="H75" s="378">
        <f t="shared" si="46"/>
        <v>0.1968007282894951</v>
      </c>
      <c r="I75" s="377"/>
    </row>
    <row r="76" spans="2:23" x14ac:dyDescent="0.25">
      <c r="B76" s="375">
        <v>42536</v>
      </c>
      <c r="C76" s="376">
        <v>160</v>
      </c>
      <c r="D76" s="377">
        <v>33.652999999999999</v>
      </c>
      <c r="E76" s="377">
        <v>35.71</v>
      </c>
      <c r="F76" s="377">
        <f t="shared" si="44"/>
        <v>329.12000000000035</v>
      </c>
      <c r="G76" s="377">
        <f t="shared" si="45"/>
        <v>5384.48</v>
      </c>
      <c r="H76" s="378">
        <f t="shared" si="46"/>
        <v>6.1123822541823976E-2</v>
      </c>
      <c r="I76" s="377"/>
    </row>
    <row r="77" spans="2:23" x14ac:dyDescent="0.25">
      <c r="B77" s="375">
        <v>42542</v>
      </c>
      <c r="C77" s="376">
        <v>160</v>
      </c>
      <c r="D77" s="377">
        <v>33.65</v>
      </c>
      <c r="E77" s="377">
        <v>34.71</v>
      </c>
      <c r="F77" s="377">
        <f t="shared" si="44"/>
        <v>169.60000000000036</v>
      </c>
      <c r="G77" s="377">
        <f t="shared" si="45"/>
        <v>5384</v>
      </c>
      <c r="H77" s="378">
        <f t="shared" si="46"/>
        <v>3.1500742942050589E-2</v>
      </c>
      <c r="I77" s="377"/>
    </row>
    <row r="78" spans="2:23" x14ac:dyDescent="0.25">
      <c r="B78" s="375">
        <v>42548</v>
      </c>
      <c r="C78" s="376">
        <v>160</v>
      </c>
      <c r="D78" s="377">
        <v>33.652999999999999</v>
      </c>
      <c r="E78" s="377">
        <v>36.619999999999997</v>
      </c>
      <c r="F78" s="377">
        <f t="shared" si="44"/>
        <v>474.7199999999998</v>
      </c>
      <c r="G78" s="377">
        <f t="shared" si="45"/>
        <v>5384.48</v>
      </c>
      <c r="H78" s="378">
        <f t="shared" si="46"/>
        <v>8.8164502421775148E-2</v>
      </c>
      <c r="I78" s="377"/>
    </row>
    <row r="79" spans="2:23" x14ac:dyDescent="0.25">
      <c r="B79" s="375">
        <v>42556</v>
      </c>
      <c r="C79" s="376">
        <v>160</v>
      </c>
      <c r="D79" s="377">
        <v>33.652999999999999</v>
      </c>
      <c r="E79" s="377">
        <v>37.33</v>
      </c>
      <c r="F79" s="377">
        <f t="shared" ref="F79:F121" si="47">C79*(E79-D79)</f>
        <v>588.31999999999994</v>
      </c>
      <c r="G79" s="377">
        <f t="shared" ref="G79:G92" si="48">D79*C79</f>
        <v>5384.48</v>
      </c>
      <c r="H79" s="378">
        <f t="shared" ref="H79:H121" si="49">(E79-D79)/D79</f>
        <v>0.10926217573470418</v>
      </c>
      <c r="I79" s="377"/>
    </row>
    <row r="80" spans="2:23" x14ac:dyDescent="0.25">
      <c r="B80" s="375">
        <v>42559</v>
      </c>
      <c r="C80" s="376">
        <v>160</v>
      </c>
      <c r="D80" s="377">
        <v>33.652999999999999</v>
      </c>
      <c r="E80" s="377">
        <v>37.86</v>
      </c>
      <c r="F80" s="377">
        <f t="shared" si="47"/>
        <v>673.12000000000012</v>
      </c>
      <c r="G80" s="377">
        <f t="shared" si="48"/>
        <v>5384.48</v>
      </c>
      <c r="H80" s="378">
        <f t="shared" si="49"/>
        <v>0.12501114313731318</v>
      </c>
      <c r="I80" s="377"/>
    </row>
    <row r="81" spans="2:9" x14ac:dyDescent="0.25">
      <c r="B81" s="375">
        <v>42563</v>
      </c>
      <c r="C81" s="376">
        <v>160</v>
      </c>
      <c r="D81" s="377">
        <v>33.652999999999999</v>
      </c>
      <c r="E81" s="377">
        <v>37.39</v>
      </c>
      <c r="F81" s="377">
        <f t="shared" si="47"/>
        <v>597.9200000000003</v>
      </c>
      <c r="G81" s="377">
        <f t="shared" si="48"/>
        <v>5384.48</v>
      </c>
      <c r="H81" s="378">
        <f t="shared" si="49"/>
        <v>0.11104507770481092</v>
      </c>
      <c r="I81" s="377"/>
    </row>
    <row r="82" spans="2:9" x14ac:dyDescent="0.25">
      <c r="B82" s="375">
        <v>42566</v>
      </c>
      <c r="C82" s="376">
        <v>160</v>
      </c>
      <c r="D82" s="377">
        <v>33.652999999999999</v>
      </c>
      <c r="E82" s="377">
        <v>36.71</v>
      </c>
      <c r="F82" s="377">
        <f t="shared" si="47"/>
        <v>489.12000000000035</v>
      </c>
      <c r="G82" s="377">
        <f t="shared" si="48"/>
        <v>5384.48</v>
      </c>
      <c r="H82" s="378">
        <f t="shared" si="49"/>
        <v>9.0838855376935257E-2</v>
      </c>
      <c r="I82" s="377"/>
    </row>
    <row r="83" spans="2:9" x14ac:dyDescent="0.25">
      <c r="B83" s="375">
        <v>42570</v>
      </c>
      <c r="C83" s="376">
        <v>160</v>
      </c>
      <c r="D83" s="377">
        <v>33.652999999999999</v>
      </c>
      <c r="E83" s="377">
        <v>36.21</v>
      </c>
      <c r="F83" s="377">
        <f t="shared" si="47"/>
        <v>409.12000000000035</v>
      </c>
      <c r="G83" s="377">
        <f t="shared" si="48"/>
        <v>5384.48</v>
      </c>
      <c r="H83" s="378">
        <f t="shared" si="49"/>
        <v>7.5981338959379613E-2</v>
      </c>
      <c r="I83" s="377"/>
    </row>
    <row r="84" spans="2:9" x14ac:dyDescent="0.25">
      <c r="B84" s="375">
        <v>42571</v>
      </c>
      <c r="C84" s="376">
        <v>160</v>
      </c>
      <c r="D84" s="377">
        <v>33.652999999999999</v>
      </c>
      <c r="E84" s="377">
        <v>36.4</v>
      </c>
      <c r="F84" s="377">
        <f t="shared" si="47"/>
        <v>439.52</v>
      </c>
      <c r="G84" s="377">
        <f t="shared" si="48"/>
        <v>5384.48</v>
      </c>
      <c r="H84" s="378">
        <f t="shared" si="49"/>
        <v>8.16271951980507E-2</v>
      </c>
      <c r="I84" s="377"/>
    </row>
    <row r="85" spans="2:9" x14ac:dyDescent="0.25">
      <c r="B85" s="375">
        <v>42572</v>
      </c>
      <c r="C85" s="376">
        <v>160</v>
      </c>
      <c r="D85" s="377">
        <v>33.652999999999999</v>
      </c>
      <c r="E85" s="377">
        <v>35.96</v>
      </c>
      <c r="F85" s="377">
        <f t="shared" si="47"/>
        <v>369.12000000000035</v>
      </c>
      <c r="G85" s="377">
        <f t="shared" si="48"/>
        <v>5384.48</v>
      </c>
      <c r="H85" s="378">
        <f t="shared" si="49"/>
        <v>6.8552580750601791E-2</v>
      </c>
      <c r="I85" s="377"/>
    </row>
    <row r="86" spans="2:9" x14ac:dyDescent="0.25">
      <c r="B86" s="375">
        <v>42576</v>
      </c>
      <c r="C86" s="376">
        <v>160</v>
      </c>
      <c r="D86" s="377">
        <v>33.652999999999999</v>
      </c>
      <c r="E86" s="377">
        <v>35.79</v>
      </c>
      <c r="F86" s="377">
        <f t="shared" si="47"/>
        <v>341.92000000000007</v>
      </c>
      <c r="G86" s="377">
        <f t="shared" si="48"/>
        <v>5384.48</v>
      </c>
      <c r="H86" s="378">
        <f t="shared" si="49"/>
        <v>6.3501025168632833E-2</v>
      </c>
      <c r="I86" s="377"/>
    </row>
    <row r="87" spans="2:9" x14ac:dyDescent="0.25">
      <c r="B87" s="375">
        <v>42577</v>
      </c>
      <c r="C87" s="376">
        <v>160</v>
      </c>
      <c r="D87" s="377">
        <v>33.652999999999999</v>
      </c>
      <c r="E87" s="377">
        <v>36.42</v>
      </c>
      <c r="F87" s="377">
        <f t="shared" si="47"/>
        <v>442.72000000000048</v>
      </c>
      <c r="G87" s="377">
        <f t="shared" si="48"/>
        <v>5384.48</v>
      </c>
      <c r="H87" s="378">
        <f t="shared" si="49"/>
        <v>8.222149585475301E-2</v>
      </c>
      <c r="I87" s="377"/>
    </row>
    <row r="88" spans="2:9" x14ac:dyDescent="0.25">
      <c r="B88" s="375">
        <v>42579</v>
      </c>
      <c r="C88" s="376">
        <v>230</v>
      </c>
      <c r="D88" s="377">
        <v>34.006</v>
      </c>
      <c r="E88" s="377">
        <v>34.4</v>
      </c>
      <c r="F88" s="377">
        <f t="shared" si="47"/>
        <v>90.619999999999621</v>
      </c>
      <c r="G88" s="377">
        <f t="shared" si="48"/>
        <v>7821.38</v>
      </c>
      <c r="H88" s="378">
        <f t="shared" si="49"/>
        <v>1.1586190672234263E-2</v>
      </c>
      <c r="I88" s="377"/>
    </row>
    <row r="89" spans="2:9" x14ac:dyDescent="0.25">
      <c r="B89" s="375">
        <v>42580</v>
      </c>
      <c r="C89" s="376">
        <v>260</v>
      </c>
      <c r="D89" s="377">
        <v>33.991999999999997</v>
      </c>
      <c r="E89" s="377">
        <v>34.19</v>
      </c>
      <c r="F89" s="377">
        <f t="shared" si="47"/>
        <v>51.480000000000103</v>
      </c>
      <c r="G89" s="377">
        <f t="shared" si="48"/>
        <v>8837.92</v>
      </c>
      <c r="H89" s="378">
        <f t="shared" si="49"/>
        <v>5.824899976465063E-3</v>
      </c>
      <c r="I89" s="377"/>
    </row>
    <row r="90" spans="2:9" x14ac:dyDescent="0.25">
      <c r="B90" s="375">
        <v>42584</v>
      </c>
      <c r="C90" s="376">
        <v>300</v>
      </c>
      <c r="D90" s="377">
        <v>33.866</v>
      </c>
      <c r="E90" s="377">
        <v>32.61</v>
      </c>
      <c r="F90" s="377">
        <f t="shared" si="47"/>
        <v>-376.80000000000007</v>
      </c>
      <c r="G90" s="377">
        <f t="shared" si="48"/>
        <v>10159.799999999999</v>
      </c>
      <c r="H90" s="378">
        <f t="shared" si="49"/>
        <v>-3.7087344239059829E-2</v>
      </c>
      <c r="I90" s="377"/>
    </row>
    <row r="91" spans="2:9" x14ac:dyDescent="0.25">
      <c r="B91" s="375">
        <v>42586</v>
      </c>
      <c r="C91" s="376">
        <v>400</v>
      </c>
      <c r="D91" s="377">
        <v>33.520000000000003</v>
      </c>
      <c r="E91" s="377">
        <v>32.549999999999997</v>
      </c>
      <c r="F91" s="377">
        <f t="shared" si="47"/>
        <v>-388.00000000000239</v>
      </c>
      <c r="G91" s="377">
        <f t="shared" si="48"/>
        <v>13408.000000000002</v>
      </c>
      <c r="H91" s="378">
        <f t="shared" si="49"/>
        <v>-2.8937947494033587E-2</v>
      </c>
      <c r="I91" s="377"/>
    </row>
    <row r="92" spans="2:9" x14ac:dyDescent="0.25">
      <c r="B92" s="375">
        <v>42587</v>
      </c>
      <c r="C92" s="376">
        <v>400</v>
      </c>
      <c r="D92" s="377">
        <v>33.387349999999998</v>
      </c>
      <c r="E92" s="377">
        <v>32.729999999999997</v>
      </c>
      <c r="F92" s="377">
        <f t="shared" si="47"/>
        <v>-262.9400000000004</v>
      </c>
      <c r="G92" s="377">
        <f t="shared" si="48"/>
        <v>13354.939999999999</v>
      </c>
      <c r="H92" s="378">
        <f t="shared" si="49"/>
        <v>-1.9688594632398231E-2</v>
      </c>
      <c r="I92" s="377"/>
    </row>
    <row r="93" spans="2:9" x14ac:dyDescent="0.25">
      <c r="B93" s="375">
        <v>42598</v>
      </c>
      <c r="C93" s="376">
        <v>400</v>
      </c>
      <c r="D93" s="377">
        <v>33.387349999999998</v>
      </c>
      <c r="E93" s="377">
        <v>32.1</v>
      </c>
      <c r="F93" s="377">
        <f t="shared" si="47"/>
        <v>-514.93999999999858</v>
      </c>
      <c r="G93" s="377">
        <f t="shared" ref="G93:G98" si="50">D93*C93</f>
        <v>13354.939999999999</v>
      </c>
      <c r="H93" s="378">
        <f t="shared" si="49"/>
        <v>-3.8558016733882636E-2</v>
      </c>
      <c r="I93" s="377"/>
    </row>
    <row r="94" spans="2:9" x14ac:dyDescent="0.25">
      <c r="B94" s="375">
        <v>42599</v>
      </c>
      <c r="C94" s="376">
        <v>500</v>
      </c>
      <c r="D94" s="377">
        <v>33.045879999999997</v>
      </c>
      <c r="E94" s="377">
        <v>31.88</v>
      </c>
      <c r="F94" s="377">
        <f t="shared" si="47"/>
        <v>-582.93999999999892</v>
      </c>
      <c r="G94" s="377">
        <f t="shared" si="50"/>
        <v>16522.939999999999</v>
      </c>
      <c r="H94" s="378">
        <f t="shared" si="49"/>
        <v>-3.5280646180401248E-2</v>
      </c>
      <c r="I94" s="377"/>
    </row>
    <row r="95" spans="2:9" x14ac:dyDescent="0.25">
      <c r="B95" s="375">
        <v>42600</v>
      </c>
      <c r="C95" s="376">
        <v>500</v>
      </c>
      <c r="D95" s="377">
        <v>33.045879999999997</v>
      </c>
      <c r="E95" s="377">
        <v>32.46</v>
      </c>
      <c r="F95" s="377">
        <f t="shared" si="47"/>
        <v>-292.93999999999801</v>
      </c>
      <c r="G95" s="377">
        <f t="shared" si="50"/>
        <v>16522.939999999999</v>
      </c>
      <c r="H95" s="378">
        <f t="shared" si="49"/>
        <v>-1.7729290307899079E-2</v>
      </c>
      <c r="I95" s="377"/>
    </row>
    <row r="96" spans="2:9" x14ac:dyDescent="0.25">
      <c r="B96" s="375">
        <v>42601</v>
      </c>
      <c r="C96" s="376">
        <v>500</v>
      </c>
      <c r="D96" s="377">
        <v>33.045879999999997</v>
      </c>
      <c r="E96" s="377">
        <v>32.61</v>
      </c>
      <c r="F96" s="377">
        <f t="shared" si="47"/>
        <v>-217.93999999999869</v>
      </c>
      <c r="G96" s="377">
        <f t="shared" si="50"/>
        <v>16522.939999999999</v>
      </c>
      <c r="H96" s="378">
        <f t="shared" si="49"/>
        <v>-1.3190146547769266E-2</v>
      </c>
      <c r="I96" s="377"/>
    </row>
    <row r="97" spans="2:9" x14ac:dyDescent="0.25">
      <c r="B97" s="375">
        <v>42604</v>
      </c>
      <c r="C97" s="376">
        <v>500</v>
      </c>
      <c r="D97" s="377">
        <v>33.045879999999997</v>
      </c>
      <c r="E97" s="377">
        <v>32.86</v>
      </c>
      <c r="F97" s="377">
        <f t="shared" si="47"/>
        <v>-92.93999999999869</v>
      </c>
      <c r="G97" s="377">
        <f t="shared" si="50"/>
        <v>16522.939999999999</v>
      </c>
      <c r="H97" s="378">
        <f t="shared" si="49"/>
        <v>-5.624906947552839E-3</v>
      </c>
      <c r="I97" s="377"/>
    </row>
    <row r="98" spans="2:9" x14ac:dyDescent="0.25">
      <c r="B98" s="375">
        <v>42605</v>
      </c>
      <c r="C98" s="376">
        <v>500</v>
      </c>
      <c r="D98" s="377">
        <v>33.045879999999997</v>
      </c>
      <c r="E98" s="377">
        <v>32.25</v>
      </c>
      <c r="F98" s="377">
        <f t="shared" si="47"/>
        <v>-397.93999999999841</v>
      </c>
      <c r="G98" s="377">
        <f t="shared" si="50"/>
        <v>16522.939999999999</v>
      </c>
      <c r="H98" s="378">
        <f t="shared" si="49"/>
        <v>-2.4084091572080902E-2</v>
      </c>
      <c r="I98" s="377"/>
    </row>
    <row r="99" spans="2:9" x14ac:dyDescent="0.25">
      <c r="B99" s="375">
        <v>42606</v>
      </c>
      <c r="C99" s="376">
        <v>500</v>
      </c>
      <c r="D99" s="377">
        <v>33.045879999999997</v>
      </c>
      <c r="E99" s="377">
        <v>32.99</v>
      </c>
      <c r="F99" s="377">
        <f t="shared" si="47"/>
        <v>-27.939999999997411</v>
      </c>
      <c r="G99" s="377">
        <f t="shared" ref="G99:G121" si="51">D99*C99</f>
        <v>16522.939999999999</v>
      </c>
      <c r="H99" s="378">
        <f t="shared" si="49"/>
        <v>-1.6909823554402191E-3</v>
      </c>
      <c r="I99" s="377"/>
    </row>
    <row r="100" spans="2:9" x14ac:dyDescent="0.25">
      <c r="B100" s="375">
        <v>42607</v>
      </c>
      <c r="C100" s="376">
        <v>500</v>
      </c>
      <c r="D100" s="377">
        <v>33.045879999999997</v>
      </c>
      <c r="E100" s="377">
        <v>32.76</v>
      </c>
      <c r="F100" s="377">
        <f t="shared" si="47"/>
        <v>-142.9399999999994</v>
      </c>
      <c r="G100" s="377">
        <f t="shared" si="51"/>
        <v>16522.939999999999</v>
      </c>
      <c r="H100" s="378">
        <f t="shared" si="49"/>
        <v>-8.6510027876394533E-3</v>
      </c>
      <c r="I100" s="377"/>
    </row>
    <row r="101" spans="2:9" x14ac:dyDescent="0.25">
      <c r="B101" s="375">
        <v>42611</v>
      </c>
      <c r="C101" s="376">
        <v>500</v>
      </c>
      <c r="D101" s="377">
        <v>33.045879999999997</v>
      </c>
      <c r="E101" s="377">
        <v>32.33</v>
      </c>
      <c r="F101" s="377">
        <f t="shared" si="47"/>
        <v>-357.93999999999926</v>
      </c>
      <c r="G101" s="377">
        <f t="shared" si="51"/>
        <v>16522.939999999999</v>
      </c>
      <c r="H101" s="378">
        <f t="shared" si="49"/>
        <v>-2.1663214900011697E-2</v>
      </c>
      <c r="I101" s="377"/>
    </row>
    <row r="102" spans="2:9" x14ac:dyDescent="0.25">
      <c r="B102" s="375">
        <v>42612</v>
      </c>
      <c r="C102" s="376">
        <v>500</v>
      </c>
      <c r="D102" s="377">
        <v>33.045879999999997</v>
      </c>
      <c r="E102" s="377">
        <v>32.159999999999997</v>
      </c>
      <c r="F102" s="377">
        <f t="shared" si="47"/>
        <v>-442.94000000000011</v>
      </c>
      <c r="G102" s="377">
        <f t="shared" si="51"/>
        <v>16522.939999999999</v>
      </c>
      <c r="H102" s="378">
        <f t="shared" si="49"/>
        <v>-2.6807577828158919E-2</v>
      </c>
      <c r="I102" s="377"/>
    </row>
    <row r="103" spans="2:9" x14ac:dyDescent="0.25">
      <c r="B103" s="375">
        <v>42614</v>
      </c>
      <c r="C103" s="376">
        <v>500</v>
      </c>
      <c r="D103" s="377">
        <v>33.045879999999997</v>
      </c>
      <c r="E103" s="377">
        <v>31.96</v>
      </c>
      <c r="F103" s="377">
        <f t="shared" si="47"/>
        <v>-542.93999999999801</v>
      </c>
      <c r="G103" s="377">
        <f t="shared" si="51"/>
        <v>16522.939999999999</v>
      </c>
      <c r="H103" s="378">
        <f t="shared" si="49"/>
        <v>-3.2859769508331936E-2</v>
      </c>
      <c r="I103" s="377"/>
    </row>
    <row r="104" spans="2:9" x14ac:dyDescent="0.25">
      <c r="B104" s="375">
        <v>42615</v>
      </c>
      <c r="C104" s="376">
        <v>500</v>
      </c>
      <c r="D104" s="377">
        <v>32.94988</v>
      </c>
      <c r="E104" s="377">
        <v>32.5</v>
      </c>
      <c r="F104" s="377">
        <f t="shared" si="47"/>
        <v>-224.94000000000014</v>
      </c>
      <c r="G104" s="377">
        <f t="shared" si="51"/>
        <v>16474.939999999999</v>
      </c>
      <c r="H104" s="378">
        <f t="shared" si="49"/>
        <v>-1.3653463988336233E-2</v>
      </c>
      <c r="I104" s="377" t="s">
        <v>186</v>
      </c>
    </row>
    <row r="105" spans="2:9" x14ac:dyDescent="0.25">
      <c r="B105" s="375">
        <v>42619</v>
      </c>
      <c r="C105" s="376">
        <v>500</v>
      </c>
      <c r="D105" s="377">
        <v>32.94988</v>
      </c>
      <c r="E105" s="377">
        <v>32.67</v>
      </c>
      <c r="F105" s="377">
        <f t="shared" si="47"/>
        <v>-139.93999999999929</v>
      </c>
      <c r="G105" s="377">
        <f t="shared" si="51"/>
        <v>16474.939999999999</v>
      </c>
      <c r="H105" s="378">
        <f t="shared" si="49"/>
        <v>-8.4941128768905548E-3</v>
      </c>
      <c r="I105" s="377"/>
    </row>
    <row r="106" spans="2:9" x14ac:dyDescent="0.25">
      <c r="B106" s="375">
        <v>42620</v>
      </c>
      <c r="C106" s="376">
        <v>600</v>
      </c>
      <c r="D106" s="377">
        <v>32.733229999999999</v>
      </c>
      <c r="E106" s="377">
        <v>31.32</v>
      </c>
      <c r="F106" s="377">
        <f t="shared" si="47"/>
        <v>-847.93799999999919</v>
      </c>
      <c r="G106" s="377">
        <f t="shared" si="51"/>
        <v>19639.937999999998</v>
      </c>
      <c r="H106" s="378">
        <f t="shared" si="49"/>
        <v>-4.3174168879759153E-2</v>
      </c>
      <c r="I106" s="377"/>
    </row>
    <row r="107" spans="2:9" x14ac:dyDescent="0.25">
      <c r="B107" s="375">
        <v>42620</v>
      </c>
      <c r="C107" s="376">
        <v>700</v>
      </c>
      <c r="D107" s="377">
        <v>32.511339999999997</v>
      </c>
      <c r="E107" s="377">
        <v>31.32</v>
      </c>
      <c r="F107" s="377">
        <f t="shared" si="47"/>
        <v>-833.93799999999771</v>
      </c>
      <c r="G107" s="377">
        <f t="shared" si="51"/>
        <v>22757.937999999998</v>
      </c>
      <c r="H107" s="378">
        <f t="shared" si="49"/>
        <v>-3.6643829506873504E-2</v>
      </c>
      <c r="I107" s="377"/>
    </row>
    <row r="108" spans="2:9" x14ac:dyDescent="0.25">
      <c r="B108" s="375">
        <v>42621</v>
      </c>
      <c r="C108" s="376">
        <v>700</v>
      </c>
      <c r="D108" s="377">
        <v>32.511339999999997</v>
      </c>
      <c r="E108" s="377">
        <v>31.31</v>
      </c>
      <c r="F108" s="377">
        <f t="shared" si="47"/>
        <v>-840.93799999999885</v>
      </c>
      <c r="G108" s="377">
        <f t="shared" si="51"/>
        <v>22757.937999999998</v>
      </c>
      <c r="H108" s="378">
        <f t="shared" si="49"/>
        <v>-3.6951414491066759E-2</v>
      </c>
      <c r="I108" s="377"/>
    </row>
    <row r="109" spans="2:9" x14ac:dyDescent="0.25">
      <c r="B109" s="375">
        <v>42622</v>
      </c>
      <c r="C109" s="376">
        <v>700</v>
      </c>
      <c r="D109" s="377">
        <v>32.511339999999997</v>
      </c>
      <c r="E109" s="377">
        <v>31.51</v>
      </c>
      <c r="F109" s="377">
        <f t="shared" si="47"/>
        <v>-700.9379999999968</v>
      </c>
      <c r="G109" s="377">
        <f t="shared" si="51"/>
        <v>22757.937999999998</v>
      </c>
      <c r="H109" s="378">
        <f t="shared" si="49"/>
        <v>-3.0799714807202519E-2</v>
      </c>
      <c r="I109" s="377"/>
    </row>
    <row r="110" spans="2:9" x14ac:dyDescent="0.25">
      <c r="B110" s="375">
        <v>42625</v>
      </c>
      <c r="C110" s="376">
        <v>800</v>
      </c>
      <c r="D110" s="377">
        <v>32.297429999999999</v>
      </c>
      <c r="E110" s="377">
        <v>30.89</v>
      </c>
      <c r="F110" s="377">
        <f t="shared" si="47"/>
        <v>-1125.9439999999984</v>
      </c>
      <c r="G110" s="377">
        <f t="shared" si="51"/>
        <v>25837.944</v>
      </c>
      <c r="H110" s="378">
        <f t="shared" si="49"/>
        <v>-4.3577151494716394E-2</v>
      </c>
      <c r="I110" s="377"/>
    </row>
    <row r="111" spans="2:9" x14ac:dyDescent="0.25">
      <c r="B111" s="375">
        <v>42632</v>
      </c>
      <c r="C111" s="376">
        <v>800</v>
      </c>
      <c r="D111" s="377">
        <v>32.297429999999999</v>
      </c>
      <c r="E111" s="377">
        <v>30.79</v>
      </c>
      <c r="F111" s="377">
        <f t="shared" si="47"/>
        <v>-1205.9439999999995</v>
      </c>
      <c r="G111" s="377">
        <f t="shared" si="51"/>
        <v>25837.944</v>
      </c>
      <c r="H111" s="378">
        <f t="shared" si="49"/>
        <v>-4.6673373082626063E-2</v>
      </c>
      <c r="I111" s="377"/>
    </row>
    <row r="112" spans="2:9" x14ac:dyDescent="0.25">
      <c r="B112" s="375">
        <v>42633</v>
      </c>
      <c r="C112" s="376">
        <v>800</v>
      </c>
      <c r="D112" s="377">
        <v>32.297429999999999</v>
      </c>
      <c r="E112" s="377">
        <v>31.09</v>
      </c>
      <c r="F112" s="377">
        <f t="shared" si="47"/>
        <v>-965.94399999999894</v>
      </c>
      <c r="G112" s="377">
        <f t="shared" si="51"/>
        <v>25837.944</v>
      </c>
      <c r="H112" s="378">
        <f t="shared" si="49"/>
        <v>-3.7384708318897161E-2</v>
      </c>
      <c r="I112" s="377"/>
    </row>
    <row r="113" spans="2:9" x14ac:dyDescent="0.25">
      <c r="B113" s="375">
        <v>42605</v>
      </c>
      <c r="C113" s="376">
        <v>800</v>
      </c>
      <c r="D113" s="377">
        <v>32.297429999999999</v>
      </c>
      <c r="E113" s="377">
        <v>30.45</v>
      </c>
      <c r="F113" s="377">
        <f t="shared" si="47"/>
        <v>-1477.9439999999995</v>
      </c>
      <c r="G113" s="377">
        <f t="shared" si="51"/>
        <v>25837.944</v>
      </c>
      <c r="H113" s="378">
        <f t="shared" si="49"/>
        <v>-5.7200526481518785E-2</v>
      </c>
      <c r="I113" s="377"/>
    </row>
    <row r="114" spans="2:9" x14ac:dyDescent="0.25">
      <c r="B114" s="375">
        <v>42639</v>
      </c>
      <c r="C114" s="376">
        <v>900</v>
      </c>
      <c r="D114" s="377">
        <v>32.05104</v>
      </c>
      <c r="E114" s="377">
        <v>30.08</v>
      </c>
      <c r="F114" s="377">
        <f t="shared" si="47"/>
        <v>-1773.936000000002</v>
      </c>
      <c r="G114" s="377">
        <f t="shared" si="51"/>
        <v>28845.936000000002</v>
      </c>
      <c r="H114" s="378">
        <f t="shared" si="49"/>
        <v>-6.14969124246827E-2</v>
      </c>
      <c r="I114" s="377"/>
    </row>
    <row r="115" spans="2:9" x14ac:dyDescent="0.25">
      <c r="B115" s="375">
        <v>42640</v>
      </c>
      <c r="C115" s="376">
        <v>900</v>
      </c>
      <c r="D115" s="377">
        <v>32.05104</v>
      </c>
      <c r="E115" s="377">
        <v>29.9</v>
      </c>
      <c r="F115" s="377">
        <f t="shared" si="47"/>
        <v>-1935.9360000000017</v>
      </c>
      <c r="G115" s="377">
        <f t="shared" si="51"/>
        <v>28845.936000000002</v>
      </c>
      <c r="H115" s="378">
        <f t="shared" si="49"/>
        <v>-6.7112954837034985E-2</v>
      </c>
      <c r="I115" s="377"/>
    </row>
    <row r="116" spans="2:9" x14ac:dyDescent="0.25">
      <c r="B116" s="375">
        <v>42641</v>
      </c>
      <c r="C116" s="376">
        <v>900</v>
      </c>
      <c r="D116" s="377">
        <v>32.05104</v>
      </c>
      <c r="E116" s="377">
        <v>29.84</v>
      </c>
      <c r="F116" s="377">
        <f t="shared" si="47"/>
        <v>-1989.9360000000006</v>
      </c>
      <c r="G116" s="377">
        <f t="shared" si="51"/>
        <v>28845.936000000002</v>
      </c>
      <c r="H116" s="378">
        <f t="shared" si="49"/>
        <v>-6.8984968974485708E-2</v>
      </c>
      <c r="I116" s="377"/>
    </row>
    <row r="117" spans="2:9" x14ac:dyDescent="0.25">
      <c r="B117" s="375">
        <v>42643</v>
      </c>
      <c r="C117" s="376">
        <v>900</v>
      </c>
      <c r="D117" s="377">
        <v>32.05104</v>
      </c>
      <c r="E117" s="377">
        <v>29.68</v>
      </c>
      <c r="F117" s="377">
        <f t="shared" si="47"/>
        <v>-2133.9360000000006</v>
      </c>
      <c r="G117" s="377">
        <f t="shared" si="51"/>
        <v>28845.936000000002</v>
      </c>
      <c r="H117" s="378">
        <f t="shared" si="49"/>
        <v>-7.3977006674354431E-2</v>
      </c>
      <c r="I117" s="377"/>
    </row>
    <row r="118" spans="2:9" x14ac:dyDescent="0.25">
      <c r="B118" s="375">
        <v>42646</v>
      </c>
      <c r="C118" s="376">
        <v>1000</v>
      </c>
      <c r="D118" s="377">
        <v>31.78594</v>
      </c>
      <c r="E118" s="377">
        <v>29.28</v>
      </c>
      <c r="F118" s="377">
        <f t="shared" si="47"/>
        <v>-2505.9399999999991</v>
      </c>
      <c r="G118" s="377">
        <f t="shared" si="51"/>
        <v>31785.94</v>
      </c>
      <c r="H118" s="378">
        <f t="shared" si="49"/>
        <v>-7.8838001959356835E-2</v>
      </c>
      <c r="I118" s="377"/>
    </row>
    <row r="119" spans="2:9" x14ac:dyDescent="0.25">
      <c r="B119" s="375">
        <v>42648</v>
      </c>
      <c r="C119" s="376">
        <v>1000</v>
      </c>
      <c r="D119" s="377">
        <v>31.78594</v>
      </c>
      <c r="E119" s="377">
        <v>28.84</v>
      </c>
      <c r="F119" s="377">
        <f t="shared" si="47"/>
        <v>-2945.94</v>
      </c>
      <c r="G119" s="377">
        <f t="shared" si="51"/>
        <v>31785.94</v>
      </c>
      <c r="H119" s="378">
        <f t="shared" si="49"/>
        <v>-9.2680600290568724E-2</v>
      </c>
      <c r="I119" s="377"/>
    </row>
    <row r="120" spans="2:9" x14ac:dyDescent="0.25">
      <c r="B120" s="375">
        <v>42649</v>
      </c>
      <c r="C120" s="376">
        <v>1000</v>
      </c>
      <c r="D120" s="377">
        <v>31.78594</v>
      </c>
      <c r="E120" s="377">
        <v>29.37</v>
      </c>
      <c r="F120" s="377">
        <f t="shared" si="47"/>
        <v>-2415.9399999999991</v>
      </c>
      <c r="G120" s="377">
        <f t="shared" si="51"/>
        <v>31785.94</v>
      </c>
      <c r="H120" s="378">
        <f t="shared" si="49"/>
        <v>-7.6006561391608968E-2</v>
      </c>
      <c r="I120" s="377"/>
    </row>
    <row r="121" spans="2:9" x14ac:dyDescent="0.25">
      <c r="B121" s="375">
        <v>42650</v>
      </c>
      <c r="C121" s="376">
        <v>1000</v>
      </c>
      <c r="D121" s="377">
        <v>31.78594</v>
      </c>
      <c r="E121" s="377">
        <v>29</v>
      </c>
      <c r="F121" s="377">
        <f t="shared" si="47"/>
        <v>-2785.94</v>
      </c>
      <c r="G121" s="377">
        <f t="shared" si="51"/>
        <v>31785.94</v>
      </c>
      <c r="H121" s="378">
        <f t="shared" si="49"/>
        <v>-8.7646928170128049E-2</v>
      </c>
      <c r="I121" s="377"/>
    </row>
    <row r="122" spans="2:9" x14ac:dyDescent="0.25">
      <c r="B122" s="375">
        <v>42661</v>
      </c>
      <c r="C122" s="376">
        <v>1000</v>
      </c>
      <c r="D122" s="377">
        <v>31.78594</v>
      </c>
      <c r="E122" s="377">
        <v>30.64</v>
      </c>
      <c r="F122" s="377">
        <f t="shared" ref="F122:F127" si="52">C122*(E122-D122)</f>
        <v>-1145.9399999999996</v>
      </c>
      <c r="G122" s="377">
        <f t="shared" ref="G122:G127" si="53">D122*C122</f>
        <v>31785.94</v>
      </c>
      <c r="H122" s="378">
        <f t="shared" ref="H122:H127" si="54">(E122-D122)/D122</f>
        <v>-3.6051788935611138E-2</v>
      </c>
      <c r="I122" s="377"/>
    </row>
    <row r="123" spans="2:9" x14ac:dyDescent="0.25">
      <c r="B123" s="375">
        <v>42671</v>
      </c>
      <c r="C123" s="376">
        <v>900</v>
      </c>
      <c r="D123" s="377">
        <v>31.837789999999998</v>
      </c>
      <c r="E123" s="377">
        <v>31.26</v>
      </c>
      <c r="F123" s="377">
        <f t="shared" si="52"/>
        <v>-520.01099999999701</v>
      </c>
      <c r="G123" s="377">
        <f t="shared" si="53"/>
        <v>28654.010999999999</v>
      </c>
      <c r="H123" s="378">
        <f t="shared" si="54"/>
        <v>-1.8147930493919232E-2</v>
      </c>
      <c r="I123" s="377"/>
    </row>
    <row r="124" spans="2:9" x14ac:dyDescent="0.25">
      <c r="B124" s="375">
        <v>42674</v>
      </c>
      <c r="C124" s="376">
        <v>1000</v>
      </c>
      <c r="D124" s="377">
        <v>31.763999999999999</v>
      </c>
      <c r="E124" s="377">
        <v>30.98</v>
      </c>
      <c r="F124" s="377">
        <f t="shared" si="52"/>
        <v>-783.99999999999886</v>
      </c>
      <c r="G124" s="377">
        <f t="shared" si="53"/>
        <v>31764</v>
      </c>
      <c r="H124" s="378">
        <f t="shared" si="54"/>
        <v>-2.468202997103636E-2</v>
      </c>
      <c r="I124" s="377"/>
    </row>
    <row r="125" spans="2:9" x14ac:dyDescent="0.25">
      <c r="B125" s="375">
        <v>42676</v>
      </c>
      <c r="C125" s="376">
        <v>500</v>
      </c>
      <c r="D125" s="377">
        <v>31.518719999999998</v>
      </c>
      <c r="E125" s="377">
        <v>32.22</v>
      </c>
      <c r="F125" s="377">
        <f t="shared" si="52"/>
        <v>350.64000000000027</v>
      </c>
      <c r="G125" s="377">
        <f t="shared" si="53"/>
        <v>15759.359999999999</v>
      </c>
      <c r="H125" s="378">
        <f t="shared" si="54"/>
        <v>2.2249634502923995E-2</v>
      </c>
      <c r="I125" s="377">
        <v>31</v>
      </c>
    </row>
    <row r="126" spans="2:9" x14ac:dyDescent="0.25">
      <c r="B126" s="375">
        <v>42677</v>
      </c>
      <c r="C126" s="376">
        <v>800</v>
      </c>
      <c r="D126" s="377">
        <v>31.51858</v>
      </c>
      <c r="E126" s="377">
        <v>31.02</v>
      </c>
      <c r="F126" s="377">
        <f t="shared" si="52"/>
        <v>-398.86400000000037</v>
      </c>
      <c r="G126" s="377">
        <f t="shared" si="53"/>
        <v>25214.864000000001</v>
      </c>
      <c r="H126" s="378">
        <f t="shared" si="54"/>
        <v>-1.5818606041262027E-2</v>
      </c>
      <c r="I126" s="377"/>
    </row>
    <row r="127" spans="2:9" x14ac:dyDescent="0.25">
      <c r="B127" s="375">
        <v>42701</v>
      </c>
      <c r="C127" s="376">
        <v>400</v>
      </c>
      <c r="D127" s="377">
        <v>30.677849999999999</v>
      </c>
      <c r="E127" s="377">
        <v>33.880000000000003</v>
      </c>
      <c r="F127" s="377">
        <f t="shared" si="52"/>
        <v>1280.8600000000013</v>
      </c>
      <c r="G127" s="377">
        <f t="shared" si="53"/>
        <v>12271.14</v>
      </c>
      <c r="H127" s="378">
        <f t="shared" si="54"/>
        <v>0.10437987016691207</v>
      </c>
      <c r="I127" s="377"/>
    </row>
    <row r="128" spans="2:9" x14ac:dyDescent="0.25">
      <c r="B128" s="375">
        <v>42704</v>
      </c>
      <c r="C128" s="376">
        <v>400</v>
      </c>
      <c r="D128" s="377">
        <v>30.677849999999999</v>
      </c>
      <c r="E128" s="377">
        <v>32.299999999999997</v>
      </c>
      <c r="F128" s="377">
        <f t="shared" ref="F128:F134" si="55">C128*(E128-D128)</f>
        <v>648.8599999999991</v>
      </c>
      <c r="G128" s="377">
        <f t="shared" ref="G128:G134" si="56">D128*C128</f>
        <v>12271.14</v>
      </c>
      <c r="H128" s="378">
        <f t="shared" ref="H128:H134" si="57">(E128-D128)/D128</f>
        <v>5.2876912821465581E-2</v>
      </c>
      <c r="I128" s="377"/>
    </row>
    <row r="129" spans="2:9" x14ac:dyDescent="0.25">
      <c r="B129" s="375">
        <v>42706</v>
      </c>
      <c r="C129" s="376">
        <v>400</v>
      </c>
      <c r="D129" s="377">
        <v>30.527850000000001</v>
      </c>
      <c r="E129" s="377">
        <v>33.299999999999997</v>
      </c>
      <c r="F129" s="377">
        <f t="shared" si="55"/>
        <v>1108.8599999999985</v>
      </c>
      <c r="G129" s="377">
        <f t="shared" si="56"/>
        <v>12211.14</v>
      </c>
      <c r="H129" s="378">
        <f t="shared" si="57"/>
        <v>9.0807246497869851E-2</v>
      </c>
      <c r="I129" s="377"/>
    </row>
    <row r="130" spans="2:9" x14ac:dyDescent="0.25">
      <c r="B130" s="375">
        <v>42712</v>
      </c>
      <c r="C130" s="376">
        <v>300</v>
      </c>
      <c r="D130" s="377">
        <v>29.297370000000001</v>
      </c>
      <c r="E130" s="377">
        <v>34.19</v>
      </c>
      <c r="F130" s="377">
        <f t="shared" si="55"/>
        <v>1467.7889999999991</v>
      </c>
      <c r="G130" s="377">
        <f t="shared" si="56"/>
        <v>8789.2109999999993</v>
      </c>
      <c r="H130" s="378">
        <f t="shared" si="57"/>
        <v>0.16699894905242338</v>
      </c>
      <c r="I130" s="377"/>
    </row>
    <row r="131" spans="2:9" x14ac:dyDescent="0.25">
      <c r="B131" s="375">
        <v>42713</v>
      </c>
      <c r="C131" s="376">
        <v>200</v>
      </c>
      <c r="D131" s="377">
        <v>26.551449999999999</v>
      </c>
      <c r="E131" s="377">
        <v>34.78</v>
      </c>
      <c r="F131" s="377">
        <f t="shared" si="55"/>
        <v>1645.7100000000005</v>
      </c>
      <c r="G131" s="377">
        <f t="shared" si="56"/>
        <v>5310.29</v>
      </c>
      <c r="H131" s="378">
        <f t="shared" si="57"/>
        <v>0.30990962828772073</v>
      </c>
      <c r="I131" s="377"/>
    </row>
    <row r="132" spans="2:9" x14ac:dyDescent="0.25">
      <c r="B132" s="375">
        <v>42716</v>
      </c>
      <c r="C132" s="376">
        <v>300</v>
      </c>
      <c r="D132" s="377">
        <v>29.0943</v>
      </c>
      <c r="E132" s="377">
        <v>34.22</v>
      </c>
      <c r="F132" s="377">
        <f t="shared" si="55"/>
        <v>1537.7099999999996</v>
      </c>
      <c r="G132" s="377">
        <f t="shared" si="56"/>
        <v>8728.2900000000009</v>
      </c>
      <c r="H132" s="378">
        <f t="shared" si="57"/>
        <v>0.17617540205469795</v>
      </c>
      <c r="I132" s="377"/>
    </row>
    <row r="133" spans="2:9" x14ac:dyDescent="0.25">
      <c r="B133" s="375">
        <v>42718</v>
      </c>
      <c r="C133" s="376">
        <v>100</v>
      </c>
      <c r="D133" s="377">
        <v>17.179500000000001</v>
      </c>
      <c r="E133" s="377">
        <v>34.72</v>
      </c>
      <c r="F133" s="377">
        <f t="shared" si="55"/>
        <v>1754.0499999999997</v>
      </c>
      <c r="G133" s="377">
        <f t="shared" si="56"/>
        <v>1717.95</v>
      </c>
      <c r="H133" s="378">
        <f t="shared" si="57"/>
        <v>1.021013417154166</v>
      </c>
      <c r="I133" s="377"/>
    </row>
    <row r="134" spans="2:9" x14ac:dyDescent="0.25">
      <c r="B134" s="375">
        <v>42718</v>
      </c>
      <c r="C134" s="376">
        <v>300</v>
      </c>
      <c r="D134" s="377">
        <v>28.9132</v>
      </c>
      <c r="E134" s="377">
        <v>34.72</v>
      </c>
      <c r="F134" s="377">
        <f t="shared" si="55"/>
        <v>1742.0399999999997</v>
      </c>
      <c r="G134" s="377">
        <f t="shared" si="56"/>
        <v>8673.9599999999991</v>
      </c>
      <c r="H134" s="378">
        <f t="shared" si="57"/>
        <v>0.20083560449898313</v>
      </c>
      <c r="I134" s="377"/>
    </row>
    <row r="135" spans="2:9" x14ac:dyDescent="0.25">
      <c r="B135" s="375">
        <v>42729</v>
      </c>
      <c r="C135" s="376">
        <v>300</v>
      </c>
      <c r="D135" s="377">
        <v>28.9132</v>
      </c>
      <c r="E135" s="377">
        <v>35.08</v>
      </c>
      <c r="F135" s="377">
        <f>C135*(E135-D135)</f>
        <v>1850.0399999999995</v>
      </c>
      <c r="G135" s="377">
        <f>D135*C135</f>
        <v>8673.9599999999991</v>
      </c>
      <c r="H135" s="378">
        <f>(E135-D135)/D135</f>
        <v>0.21328666491429515</v>
      </c>
      <c r="I135" s="377"/>
    </row>
    <row r="136" spans="2:9" x14ac:dyDescent="0.25">
      <c r="B136" s="375">
        <v>42745</v>
      </c>
      <c r="C136" s="376">
        <v>400</v>
      </c>
      <c r="D136" s="377">
        <v>30.12988</v>
      </c>
      <c r="E136" s="377">
        <v>33.19</v>
      </c>
      <c r="F136" s="377">
        <f>C136*(E136-D136)</f>
        <v>1224.0479999999991</v>
      </c>
      <c r="G136" s="377">
        <f>D136*C136</f>
        <v>12051.951999999999</v>
      </c>
      <c r="H136" s="378">
        <f>(E136-D136)/D136</f>
        <v>0.1015642943151449</v>
      </c>
      <c r="I136" s="377"/>
    </row>
    <row r="137" spans="2:9" x14ac:dyDescent="0.25">
      <c r="B137" s="375">
        <v>42752</v>
      </c>
      <c r="C137" s="376">
        <v>300</v>
      </c>
      <c r="D137" s="377">
        <v>28.620100000000001</v>
      </c>
      <c r="E137" s="377">
        <v>34.840000000000003</v>
      </c>
      <c r="F137" s="377">
        <f>C137*(E137-D137)</f>
        <v>1865.9700000000007</v>
      </c>
      <c r="G137" s="377">
        <f>D137*C137</f>
        <v>8586.0300000000007</v>
      </c>
      <c r="H137" s="378">
        <f>(E137-D137)/D137</f>
        <v>0.21732628467405782</v>
      </c>
      <c r="I137" s="377">
        <v>28.25</v>
      </c>
    </row>
    <row r="138" spans="2:9" x14ac:dyDescent="0.25">
      <c r="B138" s="375">
        <v>42754</v>
      </c>
      <c r="C138" s="376">
        <v>400</v>
      </c>
      <c r="D138" s="377">
        <v>30.032579999999999</v>
      </c>
      <c r="E138" s="377">
        <v>34.26</v>
      </c>
      <c r="F138" s="377">
        <f>C138*(E138-D138)</f>
        <v>1690.9679999999994</v>
      </c>
      <c r="G138" s="377">
        <f>D138*C138</f>
        <v>12013.031999999999</v>
      </c>
      <c r="H138" s="378">
        <f>(E138-D138)/D138</f>
        <v>0.14076113340911767</v>
      </c>
      <c r="I138" s="377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0" t="s">
        <v>1</v>
      </c>
      <c r="B157" s="260" t="s">
        <v>2</v>
      </c>
      <c r="C157" s="260" t="s">
        <v>4</v>
      </c>
      <c r="D157" s="261" t="s">
        <v>5</v>
      </c>
      <c r="E157" s="261" t="s">
        <v>94</v>
      </c>
      <c r="F157" s="261" t="s">
        <v>60</v>
      </c>
      <c r="G157" s="260" t="s">
        <v>3</v>
      </c>
      <c r="H157" s="260" t="s">
        <v>6</v>
      </c>
      <c r="I157" s="261" t="s">
        <v>7</v>
      </c>
      <c r="J157" s="261" t="s">
        <v>95</v>
      </c>
      <c r="K157" s="261" t="s">
        <v>61</v>
      </c>
      <c r="L157" s="260" t="s">
        <v>37</v>
      </c>
      <c r="M157" s="260" t="s">
        <v>38</v>
      </c>
    </row>
    <row r="158" spans="1:13" x14ac:dyDescent="0.25">
      <c r="A158" s="262" t="s">
        <v>197</v>
      </c>
      <c r="B158" s="263">
        <v>42482</v>
      </c>
      <c r="C158" s="258">
        <v>80</v>
      </c>
      <c r="D158" s="259">
        <v>36.01</v>
      </c>
      <c r="E158" s="259">
        <v>0</v>
      </c>
      <c r="F158" s="259">
        <f t="shared" ref="F158:F178" si="58">D158*C158+E158</f>
        <v>2880.7999999999997</v>
      </c>
      <c r="G158" s="263">
        <v>42514</v>
      </c>
      <c r="H158" s="258">
        <v>40</v>
      </c>
      <c r="I158" s="259">
        <v>35.35</v>
      </c>
      <c r="J158" s="259">
        <v>0.03</v>
      </c>
      <c r="K158" s="259">
        <f>I158*H158-J158</f>
        <v>1413.97</v>
      </c>
      <c r="L158" s="263">
        <v>42522</v>
      </c>
      <c r="M158" s="259">
        <v>10.5</v>
      </c>
    </row>
    <row r="159" spans="1:13" x14ac:dyDescent="0.25">
      <c r="A159" s="265" t="s">
        <v>71</v>
      </c>
      <c r="B159" s="263">
        <v>42482</v>
      </c>
      <c r="C159" s="258">
        <v>20</v>
      </c>
      <c r="D159" s="259">
        <v>35.549999999999997</v>
      </c>
      <c r="E159" s="259">
        <v>0</v>
      </c>
      <c r="F159" s="259">
        <f t="shared" si="58"/>
        <v>711</v>
      </c>
      <c r="G159" s="258"/>
      <c r="H159" s="258"/>
      <c r="I159" s="259"/>
      <c r="J159" s="259"/>
      <c r="K159" s="259"/>
      <c r="L159" s="263">
        <v>42614</v>
      </c>
      <c r="M159" s="259">
        <v>48</v>
      </c>
    </row>
    <row r="160" spans="1:13" x14ac:dyDescent="0.25">
      <c r="A160" s="258"/>
      <c r="B160" s="263">
        <v>42508</v>
      </c>
      <c r="C160" s="258">
        <v>40</v>
      </c>
      <c r="D160" s="259">
        <v>34.19</v>
      </c>
      <c r="E160" s="259">
        <v>0</v>
      </c>
      <c r="F160" s="259">
        <f t="shared" si="58"/>
        <v>1367.6</v>
      </c>
      <c r="G160" s="263">
        <v>42521</v>
      </c>
      <c r="H160" s="264">
        <v>40</v>
      </c>
      <c r="I160" s="259">
        <v>35.99</v>
      </c>
      <c r="J160" s="259">
        <v>0.03</v>
      </c>
      <c r="K160" s="259">
        <f t="shared" ref="K160:K175" si="59">I160*H160-J160</f>
        <v>1439.5700000000002</v>
      </c>
      <c r="L160" s="263">
        <v>42706</v>
      </c>
      <c r="M160" s="259">
        <v>60</v>
      </c>
    </row>
    <row r="161" spans="1:13" x14ac:dyDescent="0.25">
      <c r="A161" s="258"/>
      <c r="B161" s="263">
        <v>42509</v>
      </c>
      <c r="C161" s="258">
        <v>100</v>
      </c>
      <c r="D161" s="259">
        <v>34.49</v>
      </c>
      <c r="E161" s="259">
        <v>0</v>
      </c>
      <c r="F161" s="259">
        <f t="shared" si="58"/>
        <v>3449</v>
      </c>
      <c r="G161" s="263">
        <v>42531</v>
      </c>
      <c r="H161" s="264">
        <v>100</v>
      </c>
      <c r="I161" s="259">
        <v>36.99</v>
      </c>
      <c r="J161" s="259">
        <v>0.08</v>
      </c>
      <c r="K161" s="259">
        <f t="shared" si="59"/>
        <v>3698.92</v>
      </c>
      <c r="L161" s="258"/>
      <c r="M161" s="258"/>
    </row>
    <row r="162" spans="1:13" x14ac:dyDescent="0.25">
      <c r="A162" s="258"/>
      <c r="B162" s="263">
        <v>42536</v>
      </c>
      <c r="C162" s="258">
        <v>100</v>
      </c>
      <c r="D162" s="259">
        <v>35.39</v>
      </c>
      <c r="E162" s="259">
        <v>0</v>
      </c>
      <c r="F162" s="259">
        <f t="shared" si="58"/>
        <v>3539</v>
      </c>
      <c r="G162" s="263">
        <v>42594</v>
      </c>
      <c r="H162" s="264">
        <v>100</v>
      </c>
      <c r="I162" s="259">
        <v>32.58</v>
      </c>
      <c r="J162" s="259">
        <v>7.0000000000000007E-2</v>
      </c>
      <c r="K162" s="259">
        <f t="shared" si="59"/>
        <v>3257.93</v>
      </c>
      <c r="L162" s="258"/>
      <c r="M162" s="258"/>
    </row>
    <row r="163" spans="1:13" x14ac:dyDescent="0.25">
      <c r="A163" s="258"/>
      <c r="B163" s="263">
        <v>42579</v>
      </c>
      <c r="C163" s="258">
        <v>40</v>
      </c>
      <c r="D163" s="259">
        <v>35</v>
      </c>
      <c r="E163" s="259">
        <v>0</v>
      </c>
      <c r="F163" s="259">
        <f t="shared" si="58"/>
        <v>1400</v>
      </c>
      <c r="G163" s="263">
        <v>42671</v>
      </c>
      <c r="H163" s="264">
        <v>100</v>
      </c>
      <c r="I163" s="259">
        <v>31.32</v>
      </c>
      <c r="J163" s="259">
        <v>7.0000000000000007E-2</v>
      </c>
      <c r="K163" s="259">
        <f t="shared" si="59"/>
        <v>3131.93</v>
      </c>
      <c r="L163" s="258"/>
      <c r="M163" s="258"/>
    </row>
    <row r="164" spans="1:13" x14ac:dyDescent="0.25">
      <c r="A164" s="258"/>
      <c r="B164" s="263">
        <v>42579</v>
      </c>
      <c r="C164" s="258">
        <v>30</v>
      </c>
      <c r="D164" s="259">
        <v>34.57</v>
      </c>
      <c r="E164" s="259">
        <v>-7.0000000000000007E-2</v>
      </c>
      <c r="F164" s="259">
        <f t="shared" si="58"/>
        <v>1037.03</v>
      </c>
      <c r="G164" s="263">
        <v>42676</v>
      </c>
      <c r="H164" s="264">
        <v>200</v>
      </c>
      <c r="I164" s="259">
        <v>31.83</v>
      </c>
      <c r="J164" s="259">
        <v>0.14000000000000001</v>
      </c>
      <c r="K164" s="259">
        <f t="shared" si="59"/>
        <v>6365.86</v>
      </c>
      <c r="L164" s="258"/>
      <c r="M164" s="258"/>
    </row>
    <row r="165" spans="1:13" x14ac:dyDescent="0.25">
      <c r="A165" s="258"/>
      <c r="B165" s="263">
        <v>42580</v>
      </c>
      <c r="C165" s="258">
        <v>30</v>
      </c>
      <c r="D165" s="259">
        <v>33.880000000000003</v>
      </c>
      <c r="E165" s="259">
        <v>0</v>
      </c>
      <c r="F165" s="259">
        <f t="shared" si="58"/>
        <v>1016.4000000000001</v>
      </c>
      <c r="G165" s="263">
        <v>42676</v>
      </c>
      <c r="H165" s="264">
        <v>100</v>
      </c>
      <c r="I165" s="259">
        <v>31.98</v>
      </c>
      <c r="J165" s="259">
        <v>7.0000000000000007E-2</v>
      </c>
      <c r="K165" s="259">
        <f t="shared" si="59"/>
        <v>3197.93</v>
      </c>
      <c r="L165" s="258"/>
      <c r="M165" s="258"/>
    </row>
    <row r="166" spans="1:13" x14ac:dyDescent="0.25">
      <c r="A166" s="258"/>
      <c r="B166" s="263">
        <v>42584</v>
      </c>
      <c r="C166" s="258">
        <v>40</v>
      </c>
      <c r="D166" s="259">
        <v>33.049999999999997</v>
      </c>
      <c r="E166" s="259">
        <v>0</v>
      </c>
      <c r="F166" s="259">
        <f t="shared" si="58"/>
        <v>1322</v>
      </c>
      <c r="G166" s="263">
        <v>42676</v>
      </c>
      <c r="H166" s="264">
        <v>100</v>
      </c>
      <c r="I166" s="259">
        <v>32.18</v>
      </c>
      <c r="J166" s="259">
        <v>7.0000000000000007E-2</v>
      </c>
      <c r="K166" s="259">
        <f t="shared" si="59"/>
        <v>3217.93</v>
      </c>
      <c r="L166" s="258"/>
      <c r="M166" s="258"/>
    </row>
    <row r="167" spans="1:13" x14ac:dyDescent="0.25">
      <c r="A167" s="258"/>
      <c r="B167" s="263">
        <v>42586</v>
      </c>
      <c r="C167" s="258">
        <v>100</v>
      </c>
      <c r="D167" s="259">
        <v>32.479999999999997</v>
      </c>
      <c r="E167" s="259">
        <v>0</v>
      </c>
      <c r="F167" s="259">
        <f t="shared" si="58"/>
        <v>3247.9999999999995</v>
      </c>
      <c r="G167" s="263">
        <v>42676</v>
      </c>
      <c r="H167" s="264">
        <v>100</v>
      </c>
      <c r="I167" s="259">
        <v>32.229999999999997</v>
      </c>
      <c r="J167" s="259">
        <v>7.0000000000000007E-2</v>
      </c>
      <c r="K167" s="259">
        <f t="shared" si="59"/>
        <v>3222.9299999999994</v>
      </c>
      <c r="L167" s="258"/>
      <c r="M167" s="258"/>
    </row>
    <row r="168" spans="1:13" x14ac:dyDescent="0.25">
      <c r="A168" s="258"/>
      <c r="B168" s="263">
        <v>42593</v>
      </c>
      <c r="C168" s="258">
        <v>100</v>
      </c>
      <c r="D168" s="259">
        <v>32.049999999999997</v>
      </c>
      <c r="E168" s="259">
        <v>0</v>
      </c>
      <c r="F168" s="259">
        <f t="shared" si="58"/>
        <v>3204.9999999999995</v>
      </c>
      <c r="G168" s="263">
        <v>42683</v>
      </c>
      <c r="H168" s="264">
        <v>100</v>
      </c>
      <c r="I168" s="259">
        <v>32.33</v>
      </c>
      <c r="J168" s="259">
        <v>7.0000000000000007E-2</v>
      </c>
      <c r="K168" s="259">
        <f t="shared" si="59"/>
        <v>3232.93</v>
      </c>
      <c r="L168" s="258"/>
      <c r="M168" s="258"/>
    </row>
    <row r="169" spans="1:13" x14ac:dyDescent="0.25">
      <c r="A169" s="258"/>
      <c r="B169" s="263">
        <v>42599</v>
      </c>
      <c r="C169" s="258">
        <v>100</v>
      </c>
      <c r="D169" s="259">
        <v>31.68</v>
      </c>
      <c r="E169" s="259">
        <v>0</v>
      </c>
      <c r="F169" s="259">
        <f t="shared" si="58"/>
        <v>3168</v>
      </c>
      <c r="G169" s="263">
        <v>42683</v>
      </c>
      <c r="H169" s="264">
        <v>200</v>
      </c>
      <c r="I169" s="259">
        <v>32.08</v>
      </c>
      <c r="J169" s="259">
        <v>0.14000000000000001</v>
      </c>
      <c r="K169" s="259">
        <f t="shared" si="59"/>
        <v>6415.86</v>
      </c>
      <c r="L169" s="258"/>
      <c r="M169" s="258"/>
    </row>
    <row r="170" spans="1:13" x14ac:dyDescent="0.25">
      <c r="A170" s="258"/>
      <c r="B170" s="263">
        <v>42620</v>
      </c>
      <c r="C170" s="258">
        <v>100</v>
      </c>
      <c r="D170" s="259">
        <v>31.65</v>
      </c>
      <c r="E170" s="259">
        <v>0</v>
      </c>
      <c r="F170" s="259">
        <f t="shared" si="58"/>
        <v>3165</v>
      </c>
      <c r="G170" s="263">
        <v>42684</v>
      </c>
      <c r="H170" s="264">
        <v>100</v>
      </c>
      <c r="I170" s="259">
        <v>32.950000000000003</v>
      </c>
      <c r="J170" s="259">
        <v>7.0000000000000007E-2</v>
      </c>
      <c r="K170" s="259">
        <f t="shared" si="59"/>
        <v>3294.9300000000003</v>
      </c>
      <c r="L170" s="258"/>
      <c r="M170" s="258"/>
    </row>
    <row r="171" spans="1:13" x14ac:dyDescent="0.25">
      <c r="A171" s="258"/>
      <c r="B171" s="263">
        <v>42620</v>
      </c>
      <c r="C171" s="258">
        <v>100</v>
      </c>
      <c r="D171" s="259">
        <v>31.18</v>
      </c>
      <c r="E171" s="259">
        <v>0</v>
      </c>
      <c r="F171" s="259">
        <f t="shared" si="58"/>
        <v>3118</v>
      </c>
      <c r="G171" s="263">
        <v>42712</v>
      </c>
      <c r="H171" s="264">
        <v>100</v>
      </c>
      <c r="I171" s="259">
        <v>34.22</v>
      </c>
      <c r="J171" s="259">
        <v>7.0000000000000007E-2</v>
      </c>
      <c r="K171" s="259">
        <f t="shared" si="59"/>
        <v>3421.93</v>
      </c>
      <c r="L171" s="258"/>
      <c r="M171" s="258"/>
    </row>
    <row r="172" spans="1:13" x14ac:dyDescent="0.25">
      <c r="A172" s="258"/>
      <c r="B172" s="263">
        <v>42625</v>
      </c>
      <c r="C172" s="258">
        <v>100</v>
      </c>
      <c r="D172" s="259">
        <v>30.8</v>
      </c>
      <c r="E172" s="259">
        <v>0</v>
      </c>
      <c r="F172" s="259">
        <f t="shared" si="58"/>
        <v>3080</v>
      </c>
      <c r="G172" s="263">
        <v>42713</v>
      </c>
      <c r="H172" s="264">
        <v>100</v>
      </c>
      <c r="I172" s="259">
        <v>34.79</v>
      </c>
      <c r="J172" s="259">
        <v>0.08</v>
      </c>
      <c r="K172" s="259">
        <f t="shared" si="59"/>
        <v>3478.92</v>
      </c>
      <c r="L172" s="258"/>
      <c r="M172" s="258"/>
    </row>
    <row r="173" spans="1:13" x14ac:dyDescent="0.25">
      <c r="A173" s="258"/>
      <c r="B173" s="263">
        <v>42639</v>
      </c>
      <c r="C173" s="258">
        <v>100</v>
      </c>
      <c r="D173" s="259">
        <v>30.08</v>
      </c>
      <c r="E173" s="259">
        <v>0</v>
      </c>
      <c r="F173" s="259">
        <f t="shared" si="58"/>
        <v>3008</v>
      </c>
      <c r="G173" s="263">
        <v>42718</v>
      </c>
      <c r="H173" s="264">
        <v>100</v>
      </c>
      <c r="I173" s="259">
        <v>35.21</v>
      </c>
      <c r="J173" s="259">
        <v>0.57999999999999996</v>
      </c>
      <c r="K173" s="259">
        <f t="shared" si="59"/>
        <v>3520.42</v>
      </c>
      <c r="L173" s="258"/>
      <c r="M173" s="258"/>
    </row>
    <row r="174" spans="1:13" x14ac:dyDescent="0.25">
      <c r="A174" s="258"/>
      <c r="B174" s="263">
        <v>42646</v>
      </c>
      <c r="C174" s="258">
        <v>100</v>
      </c>
      <c r="D174" s="259">
        <v>29.4</v>
      </c>
      <c r="E174" s="259">
        <v>0</v>
      </c>
      <c r="F174" s="259">
        <f t="shared" si="58"/>
        <v>2940</v>
      </c>
      <c r="G174" s="263">
        <v>42718</v>
      </c>
      <c r="H174" s="264">
        <v>100</v>
      </c>
      <c r="I174" s="259">
        <v>34.9</v>
      </c>
      <c r="J174" s="259">
        <v>0.08</v>
      </c>
      <c r="K174" s="259">
        <f t="shared" si="59"/>
        <v>3489.92</v>
      </c>
      <c r="L174" s="258"/>
      <c r="M174" s="258"/>
    </row>
    <row r="175" spans="1:13" x14ac:dyDescent="0.25">
      <c r="A175" s="258"/>
      <c r="B175" s="263">
        <v>42674</v>
      </c>
      <c r="C175" s="258">
        <v>100</v>
      </c>
      <c r="D175" s="259">
        <v>31.1</v>
      </c>
      <c r="E175" s="259">
        <v>0</v>
      </c>
      <c r="F175" s="259">
        <f t="shared" si="58"/>
        <v>3110</v>
      </c>
      <c r="G175" s="263">
        <v>42752</v>
      </c>
      <c r="H175" s="264">
        <v>100</v>
      </c>
      <c r="I175" s="259">
        <v>34.659999999999997</v>
      </c>
      <c r="J175" s="259">
        <v>0.08</v>
      </c>
      <c r="K175" s="259">
        <f t="shared" si="59"/>
        <v>3465.9199999999996</v>
      </c>
      <c r="L175" s="258"/>
      <c r="M175" s="258"/>
    </row>
    <row r="176" spans="1:13" x14ac:dyDescent="0.25">
      <c r="A176" s="258"/>
      <c r="B176" s="263">
        <v>42677</v>
      </c>
      <c r="C176" s="258">
        <v>200</v>
      </c>
      <c r="D176" s="259">
        <v>31.68</v>
      </c>
      <c r="E176" s="259">
        <v>0</v>
      </c>
      <c r="F176" s="259">
        <f t="shared" si="58"/>
        <v>6336</v>
      </c>
      <c r="G176" s="258"/>
      <c r="H176" s="258"/>
      <c r="I176" s="259"/>
      <c r="J176" s="259"/>
      <c r="K176" s="259"/>
      <c r="L176" s="258"/>
      <c r="M176" s="258"/>
    </row>
    <row r="177" spans="1:13" x14ac:dyDescent="0.25">
      <c r="A177" s="258"/>
      <c r="B177" s="263">
        <v>42677</v>
      </c>
      <c r="C177" s="258">
        <v>100</v>
      </c>
      <c r="D177" s="259">
        <v>31.2</v>
      </c>
      <c r="E177" s="259">
        <v>-0.5</v>
      </c>
      <c r="F177" s="259">
        <f t="shared" si="58"/>
        <v>3119.5</v>
      </c>
      <c r="G177" s="258"/>
      <c r="H177" s="258"/>
      <c r="I177" s="259"/>
      <c r="J177" s="259"/>
      <c r="K177" s="259"/>
      <c r="L177" s="258"/>
      <c r="M177" s="258"/>
    </row>
    <row r="178" spans="1:13" x14ac:dyDescent="0.25">
      <c r="A178" s="258"/>
      <c r="B178" s="263">
        <v>42716</v>
      </c>
      <c r="C178" s="258">
        <v>100</v>
      </c>
      <c r="D178" s="259">
        <v>34.18</v>
      </c>
      <c r="E178" s="259">
        <v>0</v>
      </c>
      <c r="F178" s="259">
        <f t="shared" si="58"/>
        <v>3418</v>
      </c>
      <c r="G178" s="258"/>
      <c r="H178" s="258"/>
      <c r="I178" s="259"/>
      <c r="J178" s="259"/>
      <c r="K178" s="259"/>
      <c r="L178" s="258"/>
      <c r="M178" s="258"/>
    </row>
    <row r="179" spans="1:13" x14ac:dyDescent="0.25">
      <c r="A179" s="258"/>
      <c r="B179" s="263"/>
      <c r="C179" s="258"/>
      <c r="D179" s="259"/>
      <c r="E179" s="259"/>
      <c r="F179" s="259"/>
      <c r="G179" s="258"/>
      <c r="H179" s="258"/>
      <c r="I179" s="259"/>
      <c r="J179" s="259"/>
      <c r="K179" s="259"/>
      <c r="L179" s="258"/>
      <c r="M179" s="258"/>
    </row>
    <row r="180" spans="1:13" x14ac:dyDescent="0.25">
      <c r="A180" s="258"/>
      <c r="B180" s="263"/>
      <c r="C180" s="258"/>
      <c r="D180" s="259"/>
      <c r="E180" s="259"/>
      <c r="F180" s="259"/>
      <c r="G180" s="258"/>
      <c r="H180" s="258"/>
      <c r="I180" s="259"/>
      <c r="J180" s="259"/>
      <c r="K180" s="259"/>
      <c r="L180" s="258"/>
      <c r="M180" s="258"/>
    </row>
    <row r="181" spans="1:13" x14ac:dyDescent="0.25">
      <c r="A181" s="258"/>
      <c r="B181" s="263"/>
      <c r="C181" s="258"/>
      <c r="D181" s="259"/>
      <c r="E181" s="259"/>
      <c r="F181" s="259"/>
      <c r="G181" s="258"/>
      <c r="H181" s="258"/>
      <c r="I181" s="259"/>
      <c r="J181" s="259"/>
      <c r="K181" s="259"/>
      <c r="L181" s="258"/>
      <c r="M181" s="258"/>
    </row>
    <row r="182" spans="1:13" x14ac:dyDescent="0.25">
      <c r="A182" s="258"/>
      <c r="B182" s="258"/>
      <c r="C182" s="258"/>
      <c r="D182" s="259"/>
      <c r="E182" s="259"/>
      <c r="F182" s="259"/>
      <c r="G182" s="258"/>
      <c r="H182" s="258"/>
      <c r="I182" s="259"/>
      <c r="J182" s="259"/>
      <c r="K182" s="259"/>
      <c r="L182" s="258"/>
      <c r="M182" s="258"/>
    </row>
    <row r="183" spans="1:13" x14ac:dyDescent="0.25">
      <c r="A183" s="258"/>
      <c r="B183" s="258"/>
      <c r="C183" s="258"/>
      <c r="D183" s="259"/>
      <c r="E183" s="259"/>
      <c r="F183" s="259"/>
      <c r="G183" s="258"/>
      <c r="H183" s="258"/>
      <c r="I183" s="259"/>
      <c r="J183" s="259"/>
      <c r="K183" s="259"/>
      <c r="L183" s="258"/>
      <c r="M183" s="258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013" priority="57">
      <formula>F69&gt;0</formula>
    </cfRule>
    <cfRule type="expression" dxfId="1012" priority="58">
      <formula>F69&lt;0</formula>
    </cfRule>
  </conditionalFormatting>
  <conditionalFormatting sqref="F74:F87 F90:F134 F137:F138">
    <cfRule type="expression" dxfId="1011" priority="53">
      <formula>F74&gt;0</formula>
    </cfRule>
    <cfRule type="expression" dxfId="1010" priority="54">
      <formula>F74&lt;0</formula>
    </cfRule>
  </conditionalFormatting>
  <conditionalFormatting sqref="F74:F87 F90:F134 F137:F138">
    <cfRule type="expression" dxfId="1009" priority="55">
      <formula>F74&gt;0</formula>
    </cfRule>
    <cfRule type="expression" dxfId="1008" priority="56">
      <formula>F74&lt;0</formula>
    </cfRule>
  </conditionalFormatting>
  <conditionalFormatting sqref="H69:H87 H90:H134 H137:H138">
    <cfRule type="expression" dxfId="1007" priority="51">
      <formula>H69&gt;0</formula>
    </cfRule>
    <cfRule type="expression" dxfId="1006" priority="52">
      <formula>H69&lt;0</formula>
    </cfRule>
  </conditionalFormatting>
  <conditionalFormatting sqref="F65:F68">
    <cfRule type="expression" dxfId="1005" priority="45">
      <formula>F65&gt;0</formula>
    </cfRule>
    <cfRule type="expression" dxfId="1004" priority="46">
      <formula>F65&lt;0</formula>
    </cfRule>
  </conditionalFormatting>
  <conditionalFormatting sqref="H65:H68">
    <cfRule type="expression" dxfId="1003" priority="43">
      <formula>H65&gt;0</formula>
    </cfRule>
    <cfRule type="expression" dxfId="1002" priority="44">
      <formula>H65&lt;0</formula>
    </cfRule>
  </conditionalFormatting>
  <conditionalFormatting sqref="Q8">
    <cfRule type="expression" dxfId="1001" priority="39">
      <formula>Q8&gt;0</formula>
    </cfRule>
    <cfRule type="expression" dxfId="1000" priority="40">
      <formula>Q8&lt;0</formula>
    </cfRule>
  </conditionalFormatting>
  <conditionalFormatting sqref="Q7">
    <cfRule type="expression" dxfId="999" priority="41">
      <formula>Q7&gt;0</formula>
    </cfRule>
    <cfRule type="expression" dxfId="998" priority="42">
      <formula>Q7&lt;0</formula>
    </cfRule>
  </conditionalFormatting>
  <conditionalFormatting sqref="F88">
    <cfRule type="expression" dxfId="997" priority="35">
      <formula>F88&gt;0</formula>
    </cfRule>
    <cfRule type="expression" dxfId="996" priority="36">
      <formula>F88&lt;0</formula>
    </cfRule>
  </conditionalFormatting>
  <conditionalFormatting sqref="F88">
    <cfRule type="expression" dxfId="995" priority="37">
      <formula>F88&gt;0</formula>
    </cfRule>
    <cfRule type="expression" dxfId="994" priority="38">
      <formula>F88&lt;0</formula>
    </cfRule>
  </conditionalFormatting>
  <conditionalFormatting sqref="H88">
    <cfRule type="expression" dxfId="993" priority="33">
      <formula>H88&gt;0</formula>
    </cfRule>
    <cfRule type="expression" dxfId="992" priority="34">
      <formula>H88&lt;0</formula>
    </cfRule>
  </conditionalFormatting>
  <conditionalFormatting sqref="F89">
    <cfRule type="expression" dxfId="991" priority="29">
      <formula>F89&gt;0</formula>
    </cfRule>
    <cfRule type="expression" dxfId="990" priority="30">
      <formula>F89&lt;0</formula>
    </cfRule>
  </conditionalFormatting>
  <conditionalFormatting sqref="F89">
    <cfRule type="expression" dxfId="989" priority="31">
      <formula>F89&gt;0</formula>
    </cfRule>
    <cfRule type="expression" dxfId="988" priority="32">
      <formula>F89&lt;0</formula>
    </cfRule>
  </conditionalFormatting>
  <conditionalFormatting sqref="H89">
    <cfRule type="expression" dxfId="987" priority="27">
      <formula>H89&gt;0</formula>
    </cfRule>
    <cfRule type="expression" dxfId="986" priority="28">
      <formula>H89&lt;0</formula>
    </cfRule>
  </conditionalFormatting>
  <conditionalFormatting sqref="F135:F136">
    <cfRule type="expression" dxfId="985" priority="23">
      <formula>F135&gt;0</formula>
    </cfRule>
    <cfRule type="expression" dxfId="984" priority="24">
      <formula>F135&lt;0</formula>
    </cfRule>
  </conditionalFormatting>
  <conditionalFormatting sqref="F135:F136">
    <cfRule type="expression" dxfId="983" priority="25">
      <formula>F135&gt;0</formula>
    </cfRule>
    <cfRule type="expression" dxfId="982" priority="26">
      <formula>F135&lt;0</formula>
    </cfRule>
  </conditionalFormatting>
  <conditionalFormatting sqref="H135:H136">
    <cfRule type="expression" dxfId="981" priority="21">
      <formula>H135&gt;0</formula>
    </cfRule>
    <cfRule type="expression" dxfId="980" priority="22">
      <formula>H135&lt;0</formula>
    </cfRule>
  </conditionalFormatting>
  <conditionalFormatting sqref="F35:F50">
    <cfRule type="expression" dxfId="979" priority="19">
      <formula>F35&gt;0</formula>
    </cfRule>
    <cfRule type="expression" dxfId="978" priority="20">
      <formula>F35&lt;0</formula>
    </cfRule>
  </conditionalFormatting>
  <conditionalFormatting sqref="H35:H50">
    <cfRule type="expression" dxfId="977" priority="17">
      <formula>H35&gt;0</formula>
    </cfRule>
    <cfRule type="expression" dxfId="976" priority="18">
      <formula>H35&lt;0</formula>
    </cfRule>
  </conditionalFormatting>
  <conditionalFormatting sqref="Q10">
    <cfRule type="expression" dxfId="975" priority="15">
      <formula>Q10&gt;0</formula>
    </cfRule>
    <cfRule type="expression" dxfId="974" priority="16">
      <formula>Q10&lt;0</formula>
    </cfRule>
  </conditionalFormatting>
  <conditionalFormatting sqref="J45:K45">
    <cfRule type="expression" dxfId="973" priority="13">
      <formula>J45&gt;0</formula>
    </cfRule>
    <cfRule type="expression" dxfId="972" priority="14">
      <formula>J45&lt;0</formula>
    </cfRule>
  </conditionalFormatting>
  <conditionalFormatting sqref="K46">
    <cfRule type="expression" dxfId="971" priority="11">
      <formula>K46&gt;0</formula>
    </cfRule>
    <cfRule type="expression" dxfId="970" priority="12">
      <formula>K46&lt;0</formula>
    </cfRule>
  </conditionalFormatting>
  <conditionalFormatting sqref="K47:K62">
    <cfRule type="expression" dxfId="969" priority="9">
      <formula>K47&gt;0</formula>
    </cfRule>
    <cfRule type="expression" dxfId="968" priority="10">
      <formula>K47&lt;0</formula>
    </cfRule>
  </conditionalFormatting>
  <conditionalFormatting sqref="F52:F55">
    <cfRule type="expression" dxfId="967" priority="7">
      <formula>F52&gt;0</formula>
    </cfRule>
    <cfRule type="expression" dxfId="966" priority="8">
      <formula>F52&lt;0</formula>
    </cfRule>
  </conditionalFormatting>
  <conditionalFormatting sqref="H52:H55">
    <cfRule type="expression" dxfId="965" priority="5">
      <formula>H52&gt;0</formula>
    </cfRule>
    <cfRule type="expression" dxfId="964" priority="6">
      <formula>H52&lt;0</formula>
    </cfRule>
  </conditionalFormatting>
  <conditionalFormatting sqref="R4">
    <cfRule type="expression" dxfId="963" priority="3">
      <formula>R4&gt;0</formula>
    </cfRule>
    <cfRule type="expression" dxfId="962" priority="4">
      <formula>R4&lt;0</formula>
    </cfRule>
  </conditionalFormatting>
  <conditionalFormatting sqref="Q9">
    <cfRule type="expression" dxfId="961" priority="1">
      <formula>Q9&gt;0</formula>
    </cfRule>
    <cfRule type="expression" dxfId="960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198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272</v>
      </c>
      <c r="W2" s="131"/>
      <c r="X2" s="10"/>
      <c r="Y2" s="10"/>
      <c r="Z2" s="10"/>
      <c r="AA2" s="10"/>
      <c r="AB2" s="94"/>
      <c r="AC2" s="10"/>
      <c r="AD2" s="2">
        <f>Y2-Z2</f>
        <v>0</v>
      </c>
      <c r="AE2" s="135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10.84</v>
      </c>
      <c r="T3" s="1"/>
      <c r="W3" s="131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5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10.84</v>
      </c>
      <c r="R4" s="497">
        <v>-6.4000000000000003E-3</v>
      </c>
      <c r="T4" s="160"/>
      <c r="W4" s="131"/>
      <c r="X4" s="10"/>
      <c r="Y4" s="10"/>
      <c r="Z4" s="10"/>
      <c r="AA4" s="10"/>
      <c r="AB4" s="94"/>
      <c r="AC4" s="10"/>
      <c r="AD4" s="2">
        <f t="shared" si="0"/>
        <v>0</v>
      </c>
      <c r="AE4" s="135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/>
      <c r="X5" s="10"/>
      <c r="Y5" s="10"/>
      <c r="Z5" s="10"/>
      <c r="AA5" s="10"/>
      <c r="AB5" s="94"/>
      <c r="AC5" s="10"/>
      <c r="AD5" s="2">
        <f t="shared" si="0"/>
        <v>0</v>
      </c>
      <c r="AE5" s="135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/>
      <c r="X6" s="10"/>
      <c r="Y6" s="10"/>
      <c r="Z6" s="10"/>
      <c r="AA6" s="10"/>
      <c r="AB6" s="94"/>
      <c r="AC6" s="10"/>
      <c r="AD6" s="2">
        <f t="shared" si="0"/>
        <v>0</v>
      </c>
      <c r="AE6" s="135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251.26000000000022</v>
      </c>
      <c r="R7">
        <v>0</v>
      </c>
      <c r="W7" s="131"/>
      <c r="X7" s="10"/>
      <c r="Y7" s="10"/>
      <c r="Z7" s="10"/>
      <c r="AA7" s="10"/>
      <c r="AB7" s="94"/>
      <c r="AC7" s="10"/>
      <c r="AD7" s="2">
        <f t="shared" si="0"/>
        <v>0</v>
      </c>
      <c r="AE7" s="135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/>
      <c r="X8" s="10"/>
      <c r="Y8" s="10"/>
      <c r="Z8" s="10"/>
      <c r="AA8" s="10"/>
      <c r="AB8" s="94"/>
      <c r="AC8" s="10"/>
      <c r="AD8" s="2">
        <f t="shared" si="0"/>
        <v>0</v>
      </c>
      <c r="AE8" s="135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/>
      <c r="X9" s="10"/>
      <c r="Y9" s="10"/>
      <c r="Z9" s="10"/>
      <c r="AA9" s="10"/>
      <c r="AB9" s="94"/>
      <c r="AC9" s="10"/>
      <c r="AD9" s="2">
        <f t="shared" si="0"/>
        <v>0</v>
      </c>
      <c r="AE9" s="135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P10" s="34"/>
      <c r="Q10" s="2">
        <f>M92</f>
        <v>251.26000000000022</v>
      </c>
      <c r="W10" s="131"/>
      <c r="X10" s="10"/>
      <c r="Y10" s="10"/>
      <c r="Z10" s="10"/>
      <c r="AA10" s="10"/>
      <c r="AB10" s="94"/>
      <c r="AC10" s="10"/>
      <c r="AD10" s="2">
        <f t="shared" si="0"/>
        <v>0</v>
      </c>
      <c r="AE10" s="135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5.1499999999999997E-2</v>
      </c>
      <c r="W11" s="131"/>
      <c r="X11" s="10"/>
      <c r="Y11" s="10"/>
      <c r="Z11" s="10"/>
      <c r="AA11" s="10"/>
      <c r="AB11" s="94"/>
      <c r="AC11" s="10"/>
      <c r="AD11" s="2">
        <f t="shared" si="0"/>
        <v>0</v>
      </c>
      <c r="AE11" s="135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>
        <f t="shared" si="0"/>
        <v>0</v>
      </c>
      <c r="AE12" s="135" t="e">
        <f t="shared" si="1"/>
        <v>#DIV/0!</v>
      </c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>
        <f t="shared" si="0"/>
        <v>0</v>
      </c>
      <c r="AE13" s="135" t="e">
        <f t="shared" si="1"/>
        <v>#DIV/0!</v>
      </c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>
        <f t="shared" si="0"/>
        <v>0</v>
      </c>
      <c r="AE14" s="135" t="e">
        <f t="shared" si="1"/>
        <v>#DIV/0!</v>
      </c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>
        <f t="shared" si="0"/>
        <v>0</v>
      </c>
      <c r="AE15" s="135" t="e">
        <f t="shared" si="1"/>
        <v>#DIV/0!</v>
      </c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>
        <f t="shared" si="0"/>
        <v>0</v>
      </c>
      <c r="AE16" s="135" t="e">
        <f t="shared" si="1"/>
        <v>#DIV/0!</v>
      </c>
    </row>
    <row r="17" spans="1:31" x14ac:dyDescent="0.25">
      <c r="H17" s="71"/>
      <c r="W17" s="131"/>
      <c r="X17" s="10"/>
      <c r="Y17" s="10"/>
      <c r="Z17" s="10"/>
      <c r="AA17" s="10"/>
      <c r="AB17" s="94"/>
      <c r="AC17" s="10"/>
      <c r="AD17" s="2">
        <f t="shared" si="0"/>
        <v>0</v>
      </c>
      <c r="AE17" s="135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/>
      <c r="X18" s="10"/>
      <c r="Y18" s="10"/>
      <c r="Z18" s="10"/>
      <c r="AA18" s="10"/>
      <c r="AB18" s="94"/>
      <c r="AC18" s="10"/>
      <c r="AD18" s="2">
        <f t="shared" si="0"/>
        <v>0</v>
      </c>
      <c r="AE18" s="135" t="e">
        <f t="shared" si="1"/>
        <v>#DIV/0!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>
        <f t="shared" si="0"/>
        <v>0</v>
      </c>
      <c r="AE19" s="135" t="e">
        <f t="shared" si="1"/>
        <v>#DIV/0!</v>
      </c>
    </row>
    <row r="20" spans="1:31" x14ac:dyDescent="0.25">
      <c r="W20" s="131"/>
      <c r="X20" s="10"/>
      <c r="Y20" s="10"/>
      <c r="Z20" s="10"/>
      <c r="AA20" s="10"/>
      <c r="AB20" s="94"/>
      <c r="AC20" s="10"/>
      <c r="AD20" s="2">
        <f t="shared" si="0"/>
        <v>0</v>
      </c>
      <c r="AE20" s="135" t="e">
        <f t="shared" si="1"/>
        <v>#DIV/0!</v>
      </c>
    </row>
    <row r="21" spans="1:31" x14ac:dyDescent="0.25">
      <c r="W21" s="131"/>
      <c r="X21" s="10"/>
      <c r="Y21" s="10"/>
      <c r="Z21" s="10"/>
      <c r="AA21" s="10"/>
      <c r="AB21" s="94"/>
      <c r="AC21" s="10"/>
      <c r="AD21" s="2">
        <f t="shared" si="0"/>
        <v>0</v>
      </c>
      <c r="AE21" s="135" t="e">
        <f t="shared" si="1"/>
        <v>#DIV/0!</v>
      </c>
    </row>
    <row r="22" spans="1:31" x14ac:dyDescent="0.25">
      <c r="W22" s="131"/>
      <c r="X22" s="10"/>
      <c r="Y22" s="10"/>
      <c r="Z22" s="10"/>
      <c r="AA22" s="10"/>
      <c r="AB22" s="94"/>
      <c r="AC22" s="10"/>
      <c r="AD22" s="2">
        <f t="shared" si="0"/>
        <v>0</v>
      </c>
      <c r="AE22" s="135" t="e">
        <f t="shared" si="1"/>
        <v>#DIV/0!</v>
      </c>
    </row>
    <row r="23" spans="1:31" x14ac:dyDescent="0.25">
      <c r="W23" s="131"/>
      <c r="X23" s="10"/>
      <c r="Y23" s="10"/>
      <c r="Z23" s="10"/>
      <c r="AA23" s="10"/>
      <c r="AB23" s="94"/>
      <c r="AC23" s="10"/>
      <c r="AD23" s="2">
        <f t="shared" si="0"/>
        <v>0</v>
      </c>
      <c r="AE23" s="135" t="e">
        <f t="shared" si="1"/>
        <v>#DIV/0!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/>
      <c r="X24" s="10"/>
      <c r="Y24" s="10"/>
      <c r="Z24" s="10"/>
      <c r="AA24" s="10"/>
      <c r="AB24" s="94"/>
      <c r="AC24" s="10"/>
      <c r="AD24" s="2">
        <f t="shared" si="0"/>
        <v>0</v>
      </c>
      <c r="AE24" s="135" t="e">
        <f t="shared" si="1"/>
        <v>#DIV/0!</v>
      </c>
    </row>
    <row r="25" spans="1:31" x14ac:dyDescent="0.25">
      <c r="B25" s="263">
        <v>42488</v>
      </c>
      <c r="C25" s="258">
        <v>100</v>
      </c>
      <c r="D25" s="259">
        <v>13.8</v>
      </c>
      <c r="E25" s="259">
        <v>13.56</v>
      </c>
      <c r="F25" s="259">
        <f>C25*(E25-D25)</f>
        <v>-24.000000000000021</v>
      </c>
      <c r="G25" s="259">
        <f>D25*C25</f>
        <v>1380</v>
      </c>
      <c r="H25" s="273">
        <f>(E25-D25)/D25</f>
        <v>-1.7391304347826101E-2</v>
      </c>
      <c r="I25" s="259"/>
      <c r="W25" s="131"/>
      <c r="X25" s="10"/>
      <c r="Y25" s="10"/>
      <c r="Z25" s="10"/>
      <c r="AA25" s="10"/>
      <c r="AB25" s="94"/>
      <c r="AC25" s="10"/>
      <c r="AD25" s="2">
        <f t="shared" si="0"/>
        <v>0</v>
      </c>
      <c r="AE25" s="135" t="e">
        <f t="shared" si="1"/>
        <v>#DIV/0!</v>
      </c>
    </row>
    <row r="26" spans="1:31" x14ac:dyDescent="0.25">
      <c r="B26" s="263">
        <v>42494</v>
      </c>
      <c r="C26" s="258">
        <v>100</v>
      </c>
      <c r="D26" s="259">
        <v>13.8</v>
      </c>
      <c r="E26" s="259">
        <v>13.31</v>
      </c>
      <c r="F26" s="259">
        <f>C26*(E26-D26)</f>
        <v>-49.000000000000021</v>
      </c>
      <c r="G26" s="259">
        <f>D26*C26</f>
        <v>1380</v>
      </c>
      <c r="H26" s="273">
        <f>(E26-D26)/D26</f>
        <v>-3.5507246376811609E-2</v>
      </c>
      <c r="I26" s="259"/>
      <c r="W26" s="131"/>
      <c r="X26" s="10"/>
      <c r="Y26" s="10"/>
      <c r="Z26" s="10"/>
      <c r="AA26" s="10"/>
      <c r="AB26" s="94"/>
      <c r="AC26" s="10"/>
      <c r="AD26" s="2">
        <f t="shared" si="0"/>
        <v>0</v>
      </c>
      <c r="AE26" s="135" t="e">
        <f t="shared" si="1"/>
        <v>#DIV/0!</v>
      </c>
    </row>
    <row r="27" spans="1:31" x14ac:dyDescent="0.25">
      <c r="B27" s="263">
        <v>42507</v>
      </c>
      <c r="C27" s="258">
        <v>200</v>
      </c>
      <c r="D27" s="259">
        <v>13.44</v>
      </c>
      <c r="E27" s="259">
        <v>13.14</v>
      </c>
      <c r="F27" s="259">
        <f>C27*(E27-D27)</f>
        <v>-59.999999999999787</v>
      </c>
      <c r="G27" s="259">
        <f>D27*C27</f>
        <v>2688</v>
      </c>
      <c r="H27" s="273">
        <f>(E27-D27)/D27</f>
        <v>-2.2321428571428492E-2</v>
      </c>
      <c r="I27" s="259"/>
      <c r="W27" s="131"/>
      <c r="X27" s="10"/>
      <c r="Y27" s="10"/>
      <c r="Z27" s="10"/>
      <c r="AA27" s="10"/>
      <c r="AB27" s="94"/>
      <c r="AC27" s="10"/>
      <c r="AD27" s="2">
        <f t="shared" si="0"/>
        <v>0</v>
      </c>
      <c r="AE27" s="135" t="e">
        <f t="shared" si="1"/>
        <v>#DIV/0!</v>
      </c>
    </row>
    <row r="28" spans="1:31" x14ac:dyDescent="0.25">
      <c r="B28" s="263">
        <v>42515</v>
      </c>
      <c r="C28" s="258">
        <v>100</v>
      </c>
      <c r="D28" s="259">
        <v>13.2903</v>
      </c>
      <c r="E28" s="259">
        <v>13.52</v>
      </c>
      <c r="F28" s="259">
        <f t="shared" ref="F28:F34" si="2">C28*(E28-D28)</f>
        <v>22.969999999999935</v>
      </c>
      <c r="G28" s="259">
        <f t="shared" ref="G28:G34" si="3">D28*C28</f>
        <v>1329.03</v>
      </c>
      <c r="H28" s="273">
        <f t="shared" ref="H28:H34" si="4">(E28-D28)/D28</f>
        <v>1.7283281791983577E-2</v>
      </c>
      <c r="I28" s="259"/>
      <c r="W28" s="131"/>
      <c r="X28" s="10"/>
      <c r="Y28" s="10"/>
      <c r="Z28" s="10"/>
      <c r="AA28" s="10"/>
      <c r="AB28" s="94"/>
      <c r="AC28" s="10"/>
      <c r="AD28" s="2">
        <f t="shared" si="0"/>
        <v>0</v>
      </c>
      <c r="AE28" s="135" t="e">
        <f t="shared" si="1"/>
        <v>#DIV/0!</v>
      </c>
    </row>
    <row r="29" spans="1:31" x14ac:dyDescent="0.25">
      <c r="B29" s="263">
        <v>42527</v>
      </c>
      <c r="C29" s="258">
        <v>100</v>
      </c>
      <c r="D29" s="259">
        <v>13.2903</v>
      </c>
      <c r="E29" s="259">
        <v>13.18</v>
      </c>
      <c r="F29" s="259">
        <f t="shared" si="2"/>
        <v>-11.030000000000051</v>
      </c>
      <c r="G29" s="259">
        <f t="shared" si="3"/>
        <v>1329.03</v>
      </c>
      <c r="H29" s="273">
        <f t="shared" si="4"/>
        <v>-8.2992859453887811E-3</v>
      </c>
      <c r="I29" s="259"/>
      <c r="W29" s="131"/>
      <c r="X29" s="10"/>
      <c r="Y29" s="10"/>
      <c r="Z29" s="10"/>
      <c r="AA29" s="10"/>
      <c r="AB29" s="94"/>
      <c r="AC29" s="10"/>
      <c r="AD29" s="2">
        <f t="shared" si="0"/>
        <v>0</v>
      </c>
      <c r="AE29" s="135" t="e">
        <f t="shared" si="1"/>
        <v>#DIV/0!</v>
      </c>
    </row>
    <row r="30" spans="1:31" x14ac:dyDescent="0.25">
      <c r="B30" s="263">
        <v>42528</v>
      </c>
      <c r="C30" s="258">
        <v>100</v>
      </c>
      <c r="D30" s="259">
        <v>13.2903</v>
      </c>
      <c r="E30" s="259">
        <v>13.38</v>
      </c>
      <c r="F30" s="259">
        <f t="shared" si="2"/>
        <v>8.9700000000000557</v>
      </c>
      <c r="G30" s="259">
        <f t="shared" si="3"/>
        <v>1329.03</v>
      </c>
      <c r="H30" s="273">
        <f t="shared" si="4"/>
        <v>6.7492833118891638E-3</v>
      </c>
      <c r="I30" s="259"/>
      <c r="W30" s="131"/>
      <c r="X30" s="10"/>
      <c r="Y30" s="10"/>
      <c r="Z30" s="10"/>
      <c r="AA30" s="10"/>
      <c r="AB30" s="94"/>
      <c r="AC30" s="10"/>
      <c r="AD30" s="2">
        <f t="shared" si="0"/>
        <v>0</v>
      </c>
      <c r="AE30" s="135" t="e">
        <f t="shared" si="1"/>
        <v>#DIV/0!</v>
      </c>
    </row>
    <row r="31" spans="1:31" x14ac:dyDescent="0.25">
      <c r="B31" s="263">
        <v>42535</v>
      </c>
      <c r="C31" s="258">
        <v>100</v>
      </c>
      <c r="D31" s="259">
        <v>13.29</v>
      </c>
      <c r="E31" s="259">
        <v>12.84</v>
      </c>
      <c r="F31" s="259">
        <f t="shared" si="2"/>
        <v>-44.999999999999929</v>
      </c>
      <c r="G31" s="259">
        <f t="shared" si="3"/>
        <v>1329</v>
      </c>
      <c r="H31" s="273">
        <f t="shared" si="4"/>
        <v>-3.386004514672681E-2</v>
      </c>
      <c r="I31" s="259"/>
      <c r="W31" s="131"/>
      <c r="X31" s="10"/>
      <c r="Y31" s="10"/>
      <c r="Z31" s="10"/>
      <c r="AA31" s="10"/>
      <c r="AB31" s="94"/>
      <c r="AC31" s="10"/>
      <c r="AD31" s="2">
        <f t="shared" si="0"/>
        <v>0</v>
      </c>
      <c r="AE31" s="135" t="e">
        <f t="shared" si="1"/>
        <v>#DIV/0!</v>
      </c>
    </row>
    <row r="32" spans="1:31" x14ac:dyDescent="0.25">
      <c r="B32" s="263">
        <v>42542</v>
      </c>
      <c r="C32" s="258">
        <v>100</v>
      </c>
      <c r="D32" s="259">
        <v>13.2903</v>
      </c>
      <c r="E32" s="259">
        <v>13.42</v>
      </c>
      <c r="F32" s="259">
        <f t="shared" si="2"/>
        <v>12.96999999999997</v>
      </c>
      <c r="G32" s="259">
        <f t="shared" si="3"/>
        <v>1329.03</v>
      </c>
      <c r="H32" s="273">
        <f t="shared" si="4"/>
        <v>9.758997163344673E-3</v>
      </c>
      <c r="I32" s="259"/>
      <c r="W32" s="131"/>
      <c r="X32" s="10"/>
      <c r="Y32" s="10"/>
      <c r="Z32" s="10"/>
      <c r="AA32" s="10"/>
      <c r="AB32" s="94"/>
      <c r="AC32" s="10"/>
      <c r="AD32" s="2">
        <f t="shared" si="0"/>
        <v>0</v>
      </c>
      <c r="AE32" s="135" t="e">
        <f t="shared" si="1"/>
        <v>#DIV/0!</v>
      </c>
    </row>
    <row r="33" spans="2:31" x14ac:dyDescent="0.25">
      <c r="B33" s="263">
        <v>42545</v>
      </c>
      <c r="C33" s="258">
        <v>250</v>
      </c>
      <c r="D33" s="259">
        <v>12.966100000000001</v>
      </c>
      <c r="E33" s="259">
        <v>12.52</v>
      </c>
      <c r="F33" s="259">
        <f t="shared" si="2"/>
        <v>-111.52500000000032</v>
      </c>
      <c r="G33" s="259">
        <f t="shared" si="3"/>
        <v>3241.5250000000001</v>
      </c>
      <c r="H33" s="273">
        <f t="shared" si="4"/>
        <v>-3.4405102536614808E-2</v>
      </c>
      <c r="I33" s="259"/>
      <c r="W33" s="131"/>
      <c r="X33" s="10"/>
      <c r="Y33" s="10"/>
      <c r="Z33" s="10"/>
      <c r="AA33" s="10"/>
      <c r="AB33" s="94"/>
      <c r="AC33" s="10"/>
      <c r="AD33" s="2">
        <f t="shared" si="0"/>
        <v>0</v>
      </c>
      <c r="AE33" s="135" t="e">
        <f t="shared" si="1"/>
        <v>#DIV/0!</v>
      </c>
    </row>
    <row r="34" spans="2:31" x14ac:dyDescent="0.25">
      <c r="B34" s="263">
        <v>42548</v>
      </c>
      <c r="C34" s="258">
        <v>400</v>
      </c>
      <c r="D34" s="259">
        <v>12.6713</v>
      </c>
      <c r="E34" s="259">
        <v>12.16</v>
      </c>
      <c r="F34" s="259">
        <f t="shared" si="2"/>
        <v>-204.52000000000012</v>
      </c>
      <c r="G34" s="259">
        <f t="shared" si="3"/>
        <v>5068.5200000000004</v>
      </c>
      <c r="H34" s="273">
        <f t="shared" si="4"/>
        <v>-4.0351029491843798E-2</v>
      </c>
      <c r="I34" s="259"/>
      <c r="W34" s="131"/>
      <c r="X34" s="10"/>
      <c r="Y34" s="10"/>
      <c r="Z34" s="10"/>
      <c r="AA34" s="10"/>
      <c r="AB34" s="94"/>
      <c r="AC34" s="10"/>
      <c r="AD34" s="2">
        <f t="shared" si="0"/>
        <v>0</v>
      </c>
      <c r="AE34" s="135" t="e">
        <f t="shared" si="1"/>
        <v>#DIV/0!</v>
      </c>
    </row>
    <row r="35" spans="2:31" x14ac:dyDescent="0.25">
      <c r="B35" s="263">
        <v>42552</v>
      </c>
      <c r="C35" s="258">
        <v>400</v>
      </c>
      <c r="D35" s="259">
        <v>12.6713</v>
      </c>
      <c r="E35" s="259">
        <v>12.72</v>
      </c>
      <c r="F35" s="259">
        <f t="shared" ref="F35:F63" si="5">C35*(E35-D35)</f>
        <v>19.480000000000075</v>
      </c>
      <c r="G35" s="259">
        <f t="shared" ref="G35:G63" si="6">D35*C35</f>
        <v>5068.5200000000004</v>
      </c>
      <c r="H35" s="273">
        <f t="shared" ref="H35:H63" si="7">(E35-D35)/D35</f>
        <v>3.843330992084489E-3</v>
      </c>
      <c r="I35" s="259"/>
      <c r="W35" s="131"/>
      <c r="X35" s="10"/>
      <c r="Y35" s="10"/>
      <c r="Z35" s="10"/>
      <c r="AA35" s="10"/>
      <c r="AB35" s="94"/>
      <c r="AC35" s="10"/>
      <c r="AD35" s="2">
        <f t="shared" si="0"/>
        <v>0</v>
      </c>
      <c r="AE35" s="135" t="e">
        <f t="shared" si="1"/>
        <v>#DIV/0!</v>
      </c>
    </row>
    <row r="36" spans="2:31" x14ac:dyDescent="0.25">
      <c r="B36" s="263">
        <v>42556</v>
      </c>
      <c r="C36" s="258">
        <v>400</v>
      </c>
      <c r="D36" s="259">
        <v>12.6713</v>
      </c>
      <c r="E36" s="259">
        <v>12.4</v>
      </c>
      <c r="F36" s="259">
        <f t="shared" si="5"/>
        <v>-108.52000000000004</v>
      </c>
      <c r="G36" s="259">
        <f t="shared" si="6"/>
        <v>5068.5200000000004</v>
      </c>
      <c r="H36" s="273">
        <f t="shared" si="7"/>
        <v>-2.1410589284445961E-2</v>
      </c>
      <c r="I36" s="576">
        <v>11.5</v>
      </c>
      <c r="W36" s="131"/>
      <c r="X36" s="10"/>
      <c r="Y36" s="10"/>
      <c r="Z36" s="10"/>
      <c r="AA36" s="10"/>
      <c r="AB36" s="94"/>
      <c r="AC36" s="10"/>
      <c r="AD36" s="2">
        <f t="shared" si="0"/>
        <v>0</v>
      </c>
      <c r="AE36" s="135" t="e">
        <f t="shared" si="1"/>
        <v>#DIV/0!</v>
      </c>
    </row>
    <row r="37" spans="2:31" x14ac:dyDescent="0.25">
      <c r="B37" s="263">
        <v>42566</v>
      </c>
      <c r="C37" s="258">
        <v>300</v>
      </c>
      <c r="D37" s="259">
        <v>12.5352</v>
      </c>
      <c r="E37" s="259">
        <v>13.57</v>
      </c>
      <c r="F37" s="259">
        <f t="shared" si="5"/>
        <v>310.44000000000017</v>
      </c>
      <c r="G37" s="259">
        <f t="shared" si="6"/>
        <v>3760.56</v>
      </c>
      <c r="H37" s="273">
        <f t="shared" si="7"/>
        <v>8.2551534877784216E-2</v>
      </c>
      <c r="I37" s="576"/>
      <c r="W37" s="131"/>
      <c r="X37" s="10"/>
      <c r="Y37" s="10"/>
      <c r="Z37" s="10"/>
      <c r="AA37" s="10"/>
      <c r="AB37" s="94"/>
      <c r="AC37" s="10"/>
      <c r="AD37" s="2">
        <f t="shared" si="0"/>
        <v>0</v>
      </c>
      <c r="AE37" s="135" t="e">
        <f t="shared" si="1"/>
        <v>#DIV/0!</v>
      </c>
    </row>
    <row r="38" spans="2:31" x14ac:dyDescent="0.25">
      <c r="B38" s="263">
        <v>42570</v>
      </c>
      <c r="C38" s="258">
        <v>300</v>
      </c>
      <c r="D38" s="259">
        <v>12.5352</v>
      </c>
      <c r="E38" s="259">
        <v>13.65</v>
      </c>
      <c r="F38" s="259">
        <f t="shared" si="5"/>
        <v>334.44000000000023</v>
      </c>
      <c r="G38" s="259">
        <f t="shared" si="6"/>
        <v>3760.56</v>
      </c>
      <c r="H38" s="273">
        <f t="shared" si="7"/>
        <v>8.8933563086348894E-2</v>
      </c>
      <c r="I38" s="259"/>
      <c r="W38" s="131"/>
      <c r="X38" s="10"/>
      <c r="Y38" s="10"/>
      <c r="Z38" s="10"/>
      <c r="AA38" s="10"/>
      <c r="AB38" s="94"/>
      <c r="AC38" s="10"/>
      <c r="AD38" s="2">
        <f t="shared" si="0"/>
        <v>0</v>
      </c>
      <c r="AE38" s="135" t="e">
        <f t="shared" si="1"/>
        <v>#DIV/0!</v>
      </c>
    </row>
    <row r="39" spans="2:31" x14ac:dyDescent="0.25">
      <c r="B39" s="263">
        <v>42571</v>
      </c>
      <c r="C39" s="258">
        <v>300</v>
      </c>
      <c r="D39" s="259">
        <v>12.5352</v>
      </c>
      <c r="E39" s="259">
        <v>13.74</v>
      </c>
      <c r="F39" s="259">
        <f t="shared" si="5"/>
        <v>361.44000000000017</v>
      </c>
      <c r="G39" s="259">
        <f t="shared" si="6"/>
        <v>3760.56</v>
      </c>
      <c r="H39" s="273">
        <f t="shared" si="7"/>
        <v>9.6113344820984159E-2</v>
      </c>
      <c r="I39" s="259"/>
      <c r="W39" s="131"/>
      <c r="X39" s="10"/>
      <c r="Y39" s="10"/>
      <c r="Z39" s="10"/>
      <c r="AA39" s="10"/>
      <c r="AB39" s="94"/>
      <c r="AC39" s="10"/>
      <c r="AD39" s="2">
        <f t="shared" si="0"/>
        <v>0</v>
      </c>
      <c r="AE39" s="135" t="e">
        <f t="shared" si="1"/>
        <v>#DIV/0!</v>
      </c>
    </row>
    <row r="40" spans="2:31" ht="20.25" thickBot="1" x14ac:dyDescent="0.35">
      <c r="B40" s="263">
        <v>42572</v>
      </c>
      <c r="C40" s="258">
        <v>300</v>
      </c>
      <c r="D40" s="259">
        <v>12.5352</v>
      </c>
      <c r="E40" s="259">
        <v>13.92</v>
      </c>
      <c r="F40" s="259">
        <f t="shared" si="5"/>
        <v>415.44000000000005</v>
      </c>
      <c r="G40" s="259">
        <f t="shared" si="6"/>
        <v>3760.56</v>
      </c>
      <c r="H40" s="273">
        <f t="shared" si="7"/>
        <v>0.11047290829025466</v>
      </c>
      <c r="I40" s="259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>
        <f t="shared" si="0"/>
        <v>0</v>
      </c>
      <c r="AE40" s="135" t="e">
        <f t="shared" si="1"/>
        <v>#DIV/0!</v>
      </c>
    </row>
    <row r="41" spans="2:31" ht="15.75" thickTop="1" x14ac:dyDescent="0.25">
      <c r="B41" s="263">
        <v>42575</v>
      </c>
      <c r="C41" s="258">
        <v>300</v>
      </c>
      <c r="D41" s="259">
        <v>12.5352</v>
      </c>
      <c r="E41" s="259">
        <v>13.82</v>
      </c>
      <c r="F41" s="259">
        <f t="shared" si="5"/>
        <v>385.44000000000017</v>
      </c>
      <c r="G41" s="259">
        <f t="shared" si="6"/>
        <v>3760.56</v>
      </c>
      <c r="H41" s="273">
        <f t="shared" si="7"/>
        <v>0.10249537302954884</v>
      </c>
      <c r="I41" s="259"/>
      <c r="O41" s="82">
        <v>1.1000000000000001</v>
      </c>
      <c r="P41" s="82">
        <f>O41*$Q$4</f>
        <v>11.924000000000001</v>
      </c>
      <c r="Q41" s="2"/>
      <c r="W41" s="131"/>
      <c r="X41" s="10"/>
      <c r="Y41" s="10"/>
      <c r="Z41" s="10"/>
      <c r="AA41" s="10"/>
      <c r="AB41" s="94"/>
      <c r="AC41" s="10"/>
      <c r="AD41" s="2">
        <f t="shared" si="0"/>
        <v>0</v>
      </c>
      <c r="AE41" s="135" t="e">
        <f t="shared" si="1"/>
        <v>#DIV/0!</v>
      </c>
    </row>
    <row r="42" spans="2:31" ht="20.25" thickBot="1" x14ac:dyDescent="0.35">
      <c r="B42" s="263">
        <v>42577</v>
      </c>
      <c r="C42" s="258">
        <v>250</v>
      </c>
      <c r="D42" s="259">
        <v>12.286300000000001</v>
      </c>
      <c r="E42" s="259">
        <v>13.86</v>
      </c>
      <c r="F42" s="259">
        <f t="shared" si="5"/>
        <v>393.42499999999967</v>
      </c>
      <c r="G42" s="259">
        <f t="shared" si="6"/>
        <v>3071.5750000000003</v>
      </c>
      <c r="H42" s="273">
        <f t="shared" si="7"/>
        <v>0.12808575405126024</v>
      </c>
      <c r="I42" s="577" t="s">
        <v>258</v>
      </c>
      <c r="O42" s="82">
        <v>1.0900000000000001</v>
      </c>
      <c r="P42" s="82">
        <f t="shared" ref="P42:P61" si="8">O42*$Q$4</f>
        <v>11.8156</v>
      </c>
      <c r="Q42" s="2"/>
      <c r="T42" s="90" t="s">
        <v>112</v>
      </c>
      <c r="W42" s="131"/>
      <c r="X42" s="10"/>
      <c r="Y42" s="10"/>
      <c r="Z42" s="10"/>
      <c r="AA42" s="10"/>
      <c r="AB42" s="94"/>
      <c r="AC42" s="10"/>
      <c r="AD42" s="2">
        <f t="shared" si="0"/>
        <v>0</v>
      </c>
      <c r="AE42" s="135" t="e">
        <f t="shared" si="1"/>
        <v>#DIV/0!</v>
      </c>
    </row>
    <row r="43" spans="2:31" ht="15.75" thickTop="1" x14ac:dyDescent="0.25">
      <c r="B43" s="263">
        <v>42579</v>
      </c>
      <c r="C43" s="258">
        <v>250</v>
      </c>
      <c r="D43" s="259">
        <v>12.286300000000001</v>
      </c>
      <c r="E43" s="259">
        <v>12.71</v>
      </c>
      <c r="F43" s="259">
        <f t="shared" si="5"/>
        <v>105.92500000000004</v>
      </c>
      <c r="G43" s="259">
        <f t="shared" si="6"/>
        <v>3071.5750000000003</v>
      </c>
      <c r="H43" s="273">
        <f t="shared" si="7"/>
        <v>3.4485565223053335E-2</v>
      </c>
      <c r="I43" s="259"/>
      <c r="O43" s="82">
        <v>1.08</v>
      </c>
      <c r="P43" s="82">
        <f t="shared" si="8"/>
        <v>11.7072</v>
      </c>
      <c r="Q43" s="2"/>
      <c r="T43" s="126" t="s">
        <v>97</v>
      </c>
      <c r="U43" s="97">
        <v>11.37</v>
      </c>
      <c r="W43" s="131"/>
      <c r="X43" s="10"/>
      <c r="Y43" s="10"/>
      <c r="Z43" s="10"/>
      <c r="AA43" s="10"/>
      <c r="AB43" s="94"/>
      <c r="AC43" s="10"/>
      <c r="AD43" s="2">
        <f t="shared" si="0"/>
        <v>0</v>
      </c>
      <c r="AE43" s="135" t="e">
        <f t="shared" si="1"/>
        <v>#DIV/0!</v>
      </c>
    </row>
    <row r="44" spans="2:31" x14ac:dyDescent="0.25">
      <c r="B44" s="263">
        <v>42585</v>
      </c>
      <c r="C44" s="258">
        <v>250</v>
      </c>
      <c r="D44" s="259">
        <v>12.286300000000001</v>
      </c>
      <c r="E44" s="259">
        <v>11.94</v>
      </c>
      <c r="F44" s="259">
        <f t="shared" si="5"/>
        <v>-86.575000000000287</v>
      </c>
      <c r="G44" s="259">
        <f t="shared" si="6"/>
        <v>3071.5750000000003</v>
      </c>
      <c r="H44" s="273">
        <f t="shared" si="7"/>
        <v>-2.8185865557572347E-2</v>
      </c>
      <c r="I44" s="259"/>
      <c r="O44" s="82">
        <v>1.07</v>
      </c>
      <c r="P44" s="82">
        <f t="shared" si="8"/>
        <v>11.598800000000001</v>
      </c>
      <c r="Q44" s="2"/>
      <c r="T44" s="92" t="s">
        <v>98</v>
      </c>
      <c r="U44" s="87">
        <v>11.48</v>
      </c>
      <c r="W44" s="131"/>
      <c r="X44" s="10"/>
      <c r="Y44" s="10"/>
      <c r="Z44" s="10"/>
      <c r="AA44" s="10"/>
      <c r="AB44" s="94"/>
      <c r="AC44" s="10"/>
      <c r="AD44" s="2">
        <f t="shared" si="0"/>
        <v>0</v>
      </c>
      <c r="AE44" s="135" t="e">
        <f t="shared" si="1"/>
        <v>#DIV/0!</v>
      </c>
    </row>
    <row r="45" spans="2:31" x14ac:dyDescent="0.25">
      <c r="B45" s="263">
        <v>42593</v>
      </c>
      <c r="C45" s="258">
        <v>250</v>
      </c>
      <c r="D45" s="259">
        <v>12.286300000000001</v>
      </c>
      <c r="E45" s="259">
        <v>12.25</v>
      </c>
      <c r="F45" s="259">
        <f t="shared" si="5"/>
        <v>-9.0750000000001663</v>
      </c>
      <c r="G45" s="259">
        <f t="shared" si="6"/>
        <v>3071.5750000000003</v>
      </c>
      <c r="H45" s="273">
        <f t="shared" si="7"/>
        <v>-2.9545103082295452E-3</v>
      </c>
      <c r="I45" s="259"/>
      <c r="O45" s="82">
        <v>1.06</v>
      </c>
      <c r="P45" s="82">
        <f t="shared" si="8"/>
        <v>11.490400000000001</v>
      </c>
      <c r="Q45" s="2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>
        <f t="shared" si="0"/>
        <v>0</v>
      </c>
      <c r="AE45" s="135" t="e">
        <f t="shared" si="1"/>
        <v>#DIV/0!</v>
      </c>
    </row>
    <row r="46" spans="2:31" x14ac:dyDescent="0.25">
      <c r="B46" s="263">
        <v>42597</v>
      </c>
      <c r="C46" s="258">
        <v>250</v>
      </c>
      <c r="D46" s="259">
        <v>12.286300000000001</v>
      </c>
      <c r="E46" s="259">
        <v>12.43</v>
      </c>
      <c r="F46" s="259">
        <f t="shared" si="5"/>
        <v>35.924999999999763</v>
      </c>
      <c r="G46" s="259">
        <f t="shared" si="6"/>
        <v>3071.5750000000003</v>
      </c>
      <c r="H46" s="273">
        <f t="shared" si="7"/>
        <v>1.1695954030098488E-2</v>
      </c>
      <c r="I46" s="259"/>
      <c r="O46" s="82">
        <v>1.05</v>
      </c>
      <c r="P46" s="82">
        <f t="shared" si="8"/>
        <v>11.382</v>
      </c>
      <c r="Q46" s="2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>
        <f t="shared" si="0"/>
        <v>0</v>
      </c>
      <c r="AE46" s="135" t="e">
        <f t="shared" si="1"/>
        <v>#DIV/0!</v>
      </c>
    </row>
    <row r="47" spans="2:31" x14ac:dyDescent="0.25">
      <c r="B47" s="263">
        <v>42600</v>
      </c>
      <c r="C47" s="258">
        <v>250</v>
      </c>
      <c r="D47" s="259">
        <v>12.286300000000001</v>
      </c>
      <c r="E47" s="259">
        <v>12.33</v>
      </c>
      <c r="F47" s="259">
        <f t="shared" si="5"/>
        <v>10.924999999999851</v>
      </c>
      <c r="G47" s="259">
        <f t="shared" si="6"/>
        <v>3071.5750000000003</v>
      </c>
      <c r="H47" s="273">
        <f t="shared" si="7"/>
        <v>3.5568071754718184E-3</v>
      </c>
      <c r="I47" s="259"/>
      <c r="O47" s="82">
        <v>1.04</v>
      </c>
      <c r="P47" s="82">
        <f t="shared" si="8"/>
        <v>11.2736</v>
      </c>
      <c r="Q47" s="2"/>
      <c r="T47" s="92" t="s">
        <v>101</v>
      </c>
      <c r="U47" s="87">
        <v>13.18</v>
      </c>
      <c r="W47" s="131"/>
      <c r="X47" s="10"/>
      <c r="Y47" s="10"/>
      <c r="Z47" s="10"/>
      <c r="AA47" s="10"/>
      <c r="AB47" s="94"/>
      <c r="AC47" s="10"/>
      <c r="AD47" s="2">
        <f t="shared" si="0"/>
        <v>0</v>
      </c>
      <c r="AE47" s="135" t="e">
        <f t="shared" si="1"/>
        <v>#DIV/0!</v>
      </c>
    </row>
    <row r="48" spans="2:31" x14ac:dyDescent="0.25">
      <c r="B48" s="263">
        <v>42601</v>
      </c>
      <c r="C48" s="258">
        <v>250</v>
      </c>
      <c r="D48" s="259">
        <v>12.286300000000001</v>
      </c>
      <c r="E48" s="259">
        <v>12.39</v>
      </c>
      <c r="F48" s="259">
        <f t="shared" si="5"/>
        <v>25.924999999999976</v>
      </c>
      <c r="G48" s="259">
        <f t="shared" si="6"/>
        <v>3071.5750000000003</v>
      </c>
      <c r="H48" s="273">
        <f t="shared" si="7"/>
        <v>8.4402952882478774E-3</v>
      </c>
      <c r="I48" s="259"/>
      <c r="O48" s="82">
        <v>1.03</v>
      </c>
      <c r="P48" s="82">
        <f t="shared" si="8"/>
        <v>11.1652</v>
      </c>
      <c r="Q48" s="2"/>
      <c r="T48" s="92" t="s">
        <v>102</v>
      </c>
      <c r="U48" s="87">
        <v>1.34107</v>
      </c>
      <c r="W48" s="131"/>
      <c r="X48" s="10"/>
      <c r="Y48" s="10"/>
      <c r="Z48" s="10"/>
      <c r="AA48" s="10"/>
      <c r="AB48" s="94"/>
      <c r="AC48" s="10"/>
      <c r="AD48" s="2">
        <f t="shared" si="0"/>
        <v>0</v>
      </c>
      <c r="AE48" s="135" t="e">
        <f t="shared" si="1"/>
        <v>#DIV/0!</v>
      </c>
    </row>
    <row r="49" spans="2:31" x14ac:dyDescent="0.25">
      <c r="B49" s="263">
        <v>42604</v>
      </c>
      <c r="C49" s="258">
        <v>250</v>
      </c>
      <c r="D49" s="259">
        <v>12.286300000000001</v>
      </c>
      <c r="E49" s="259">
        <v>12.36</v>
      </c>
      <c r="F49" s="259">
        <f t="shared" si="5"/>
        <v>18.424999999999692</v>
      </c>
      <c r="G49" s="259">
        <f t="shared" si="6"/>
        <v>3071.5750000000003</v>
      </c>
      <c r="H49" s="273">
        <f t="shared" si="7"/>
        <v>5.9985512318597757E-3</v>
      </c>
      <c r="I49" s="259"/>
      <c r="O49" s="82">
        <v>1.02</v>
      </c>
      <c r="P49" s="82">
        <f t="shared" si="8"/>
        <v>11.056800000000001</v>
      </c>
      <c r="Q49" s="2"/>
      <c r="T49" s="92" t="s">
        <v>103</v>
      </c>
      <c r="U49" s="87" t="s">
        <v>390</v>
      </c>
      <c r="W49" s="131"/>
      <c r="X49" s="10"/>
      <c r="Y49" s="10"/>
      <c r="Z49" s="10"/>
      <c r="AA49" s="10"/>
      <c r="AB49" s="94"/>
      <c r="AC49" s="10"/>
      <c r="AD49" s="2">
        <f t="shared" si="0"/>
        <v>0</v>
      </c>
      <c r="AE49" s="135" t="e">
        <f t="shared" si="1"/>
        <v>#DIV/0!</v>
      </c>
    </row>
    <row r="50" spans="2:31" x14ac:dyDescent="0.25">
      <c r="B50" s="263">
        <v>42607</v>
      </c>
      <c r="C50" s="258">
        <v>250</v>
      </c>
      <c r="D50" s="259">
        <v>12.286300000000001</v>
      </c>
      <c r="E50" s="259">
        <v>12.47</v>
      </c>
      <c r="F50" s="259">
        <f t="shared" si="5"/>
        <v>45.924999999999997</v>
      </c>
      <c r="G50" s="259">
        <f t="shared" si="6"/>
        <v>3071.5750000000003</v>
      </c>
      <c r="H50" s="273">
        <f t="shared" si="7"/>
        <v>1.4951612771949242E-2</v>
      </c>
      <c r="I50" s="259"/>
      <c r="O50" s="82">
        <v>1.01</v>
      </c>
      <c r="P50" s="82">
        <f t="shared" si="8"/>
        <v>10.948399999999999</v>
      </c>
      <c r="Q50" s="2"/>
      <c r="T50" s="92"/>
      <c r="U50" s="87"/>
      <c r="W50" s="131"/>
      <c r="X50" s="10"/>
      <c r="Y50" s="10"/>
      <c r="Z50" s="10"/>
      <c r="AA50" s="10"/>
      <c r="AB50" s="94"/>
      <c r="AC50" s="10"/>
      <c r="AD50" s="2">
        <f t="shared" si="0"/>
        <v>0</v>
      </c>
      <c r="AE50" s="135" t="e">
        <f t="shared" si="1"/>
        <v>#DIV/0!</v>
      </c>
    </row>
    <row r="51" spans="2:31" x14ac:dyDescent="0.25">
      <c r="B51" s="263">
        <v>42615</v>
      </c>
      <c r="C51" s="258">
        <v>250</v>
      </c>
      <c r="D51" s="259">
        <v>12.106299999999999</v>
      </c>
      <c r="E51" s="259">
        <v>12.5</v>
      </c>
      <c r="F51" s="259">
        <f t="shared" si="5"/>
        <v>98.42500000000021</v>
      </c>
      <c r="G51" s="259">
        <f t="shared" si="6"/>
        <v>3026.5749999999998</v>
      </c>
      <c r="H51" s="273">
        <f t="shared" si="7"/>
        <v>3.252025804746296E-2</v>
      </c>
      <c r="I51" s="418" t="s">
        <v>270</v>
      </c>
      <c r="O51" s="82">
        <v>1</v>
      </c>
      <c r="P51" s="82">
        <f t="shared" si="8"/>
        <v>10.84</v>
      </c>
      <c r="Q51" s="2"/>
      <c r="T51" s="92" t="s">
        <v>104</v>
      </c>
      <c r="U51" s="87" t="s">
        <v>645</v>
      </c>
      <c r="W51" s="131"/>
      <c r="X51" s="10"/>
      <c r="Y51" s="10"/>
      <c r="Z51" s="10"/>
      <c r="AA51" s="10"/>
      <c r="AB51" s="94"/>
      <c r="AC51" s="10"/>
      <c r="AD51" s="2">
        <f t="shared" si="0"/>
        <v>0</v>
      </c>
      <c r="AE51" s="135" t="e">
        <f t="shared" si="1"/>
        <v>#DIV/0!</v>
      </c>
    </row>
    <row r="52" spans="2:31" x14ac:dyDescent="0.25">
      <c r="B52" s="263">
        <v>42620</v>
      </c>
      <c r="C52" s="258">
        <v>150</v>
      </c>
      <c r="D52" s="259">
        <v>11.7141</v>
      </c>
      <c r="E52" s="259">
        <v>12.7</v>
      </c>
      <c r="F52" s="259">
        <f t="shared" si="5"/>
        <v>147.88499999999988</v>
      </c>
      <c r="G52" s="259">
        <f t="shared" si="6"/>
        <v>1757.115</v>
      </c>
      <c r="H52" s="273">
        <f t="shared" si="7"/>
        <v>8.4163529421807826E-2</v>
      </c>
      <c r="I52" s="259"/>
      <c r="O52" s="82">
        <v>0.99</v>
      </c>
      <c r="P52" s="82">
        <f t="shared" si="8"/>
        <v>10.7316</v>
      </c>
      <c r="Q52" s="2"/>
      <c r="T52" s="92" t="s">
        <v>105</v>
      </c>
      <c r="U52" s="87" t="s">
        <v>408</v>
      </c>
      <c r="W52" s="131"/>
      <c r="X52" s="10"/>
      <c r="Y52" s="10"/>
      <c r="Z52" s="10"/>
      <c r="AA52" s="10"/>
      <c r="AB52" s="94"/>
      <c r="AC52" s="10"/>
      <c r="AD52" s="2">
        <f t="shared" si="0"/>
        <v>0</v>
      </c>
      <c r="AE52" s="135" t="e">
        <f t="shared" si="1"/>
        <v>#DIV/0!</v>
      </c>
    </row>
    <row r="53" spans="2:31" x14ac:dyDescent="0.25">
      <c r="B53" s="263">
        <v>42621</v>
      </c>
      <c r="C53" s="258">
        <v>150</v>
      </c>
      <c r="D53" s="259">
        <v>11.7141</v>
      </c>
      <c r="E53" s="259">
        <v>12.73</v>
      </c>
      <c r="F53" s="259">
        <f t="shared" si="5"/>
        <v>152.38500000000005</v>
      </c>
      <c r="G53" s="259">
        <f t="shared" si="6"/>
        <v>1757.115</v>
      </c>
      <c r="H53" s="273">
        <f t="shared" si="7"/>
        <v>8.6724545633040537E-2</v>
      </c>
      <c r="I53" s="259"/>
      <c r="O53" s="82">
        <v>0.98</v>
      </c>
      <c r="P53" s="82">
        <f t="shared" si="8"/>
        <v>10.623199999999999</v>
      </c>
      <c r="Q53" s="2"/>
      <c r="T53" s="92" t="s">
        <v>106</v>
      </c>
      <c r="U53" s="89">
        <v>43316140</v>
      </c>
      <c r="W53" s="131"/>
      <c r="X53" s="10"/>
      <c r="Y53" s="10"/>
      <c r="Z53" s="10"/>
      <c r="AA53" s="10"/>
      <c r="AB53" s="94"/>
      <c r="AC53" s="10"/>
      <c r="AD53" s="2">
        <f t="shared" si="0"/>
        <v>0</v>
      </c>
      <c r="AE53" s="135" t="e">
        <f t="shared" si="1"/>
        <v>#DIV/0!</v>
      </c>
    </row>
    <row r="54" spans="2:31" x14ac:dyDescent="0.25">
      <c r="B54" s="263">
        <v>42622</v>
      </c>
      <c r="C54" s="258">
        <v>150</v>
      </c>
      <c r="D54" s="259">
        <v>11.7141</v>
      </c>
      <c r="E54" s="259">
        <v>12.38</v>
      </c>
      <c r="F54" s="259">
        <f t="shared" si="5"/>
        <v>99.88500000000009</v>
      </c>
      <c r="G54" s="259">
        <f t="shared" si="6"/>
        <v>1757.115</v>
      </c>
      <c r="H54" s="273">
        <f t="shared" si="7"/>
        <v>5.684602316866004E-2</v>
      </c>
      <c r="I54" s="259"/>
      <c r="O54" s="82">
        <v>0.97</v>
      </c>
      <c r="P54" s="82">
        <f t="shared" si="8"/>
        <v>10.514799999999999</v>
      </c>
      <c r="T54" s="92" t="s">
        <v>109</v>
      </c>
      <c r="U54" s="89">
        <v>38267500</v>
      </c>
      <c r="W54" s="131"/>
      <c r="X54" s="10"/>
      <c r="Y54" s="10"/>
      <c r="Z54" s="10"/>
      <c r="AA54" s="10"/>
      <c r="AB54" s="94"/>
      <c r="AC54" s="10"/>
      <c r="AD54" s="2">
        <f t="shared" si="0"/>
        <v>0</v>
      </c>
      <c r="AE54" s="135" t="e">
        <f t="shared" si="1"/>
        <v>#DIV/0!</v>
      </c>
    </row>
    <row r="55" spans="2:31" x14ac:dyDescent="0.25">
      <c r="B55" s="263">
        <v>42625</v>
      </c>
      <c r="C55" s="258">
        <v>150</v>
      </c>
      <c r="D55" s="259">
        <v>11.7141</v>
      </c>
      <c r="E55" s="259">
        <v>12.7</v>
      </c>
      <c r="F55" s="259">
        <f t="shared" si="5"/>
        <v>147.88499999999988</v>
      </c>
      <c r="G55" s="259">
        <f t="shared" si="6"/>
        <v>1757.115</v>
      </c>
      <c r="H55" s="273">
        <f t="shared" si="7"/>
        <v>8.4163529421807826E-2</v>
      </c>
      <c r="I55" s="259"/>
      <c r="O55" s="82">
        <v>0.96</v>
      </c>
      <c r="P55" s="82">
        <f t="shared" si="8"/>
        <v>10.4064</v>
      </c>
      <c r="T55" s="92" t="s">
        <v>107</v>
      </c>
      <c r="U55" s="87" t="s">
        <v>646</v>
      </c>
      <c r="W55" s="131"/>
      <c r="X55" s="10"/>
      <c r="Y55" s="10"/>
      <c r="Z55" s="10"/>
      <c r="AA55" s="10"/>
      <c r="AB55" s="94"/>
      <c r="AC55" s="10"/>
      <c r="AD55" s="2">
        <f t="shared" si="0"/>
        <v>0</v>
      </c>
      <c r="AE55" s="135" t="e">
        <f t="shared" si="1"/>
        <v>#DIV/0!</v>
      </c>
    </row>
    <row r="56" spans="2:31" x14ac:dyDescent="0.25">
      <c r="B56" s="263">
        <v>42627</v>
      </c>
      <c r="C56" s="258">
        <v>250</v>
      </c>
      <c r="D56" s="259">
        <v>11.884399999999999</v>
      </c>
      <c r="E56" s="259">
        <v>12.14</v>
      </c>
      <c r="F56" s="259">
        <f t="shared" si="5"/>
        <v>63.90000000000029</v>
      </c>
      <c r="G56" s="259">
        <f t="shared" si="6"/>
        <v>2971.1</v>
      </c>
      <c r="H56" s="273">
        <f t="shared" si="7"/>
        <v>2.1507185890747633E-2</v>
      </c>
      <c r="I56" s="418" t="s">
        <v>284</v>
      </c>
      <c r="O56" s="82">
        <v>0.95</v>
      </c>
      <c r="P56" s="82">
        <f t="shared" si="8"/>
        <v>10.298</v>
      </c>
      <c r="T56" s="92" t="s">
        <v>110</v>
      </c>
      <c r="U56" s="87">
        <v>9.7899999999999991</v>
      </c>
      <c r="W56" s="131"/>
      <c r="X56" s="10"/>
      <c r="Y56" s="10"/>
      <c r="Z56" s="10"/>
      <c r="AA56" s="10"/>
      <c r="AB56" s="94"/>
      <c r="AC56" s="10"/>
      <c r="AD56" s="2">
        <f t="shared" si="0"/>
        <v>0</v>
      </c>
      <c r="AE56" s="135" t="e">
        <f t="shared" si="1"/>
        <v>#DIV/0!</v>
      </c>
    </row>
    <row r="57" spans="2:31" x14ac:dyDescent="0.25">
      <c r="B57" s="263">
        <v>42648</v>
      </c>
      <c r="C57" s="258">
        <v>250</v>
      </c>
      <c r="D57" s="259">
        <v>11.884399999999999</v>
      </c>
      <c r="E57" s="259">
        <v>12.48</v>
      </c>
      <c r="F57" s="259">
        <f t="shared" si="5"/>
        <v>148.90000000000026</v>
      </c>
      <c r="G57" s="259">
        <f t="shared" si="6"/>
        <v>2971.1</v>
      </c>
      <c r="H57" s="273">
        <f t="shared" si="7"/>
        <v>5.0116118609269379E-2</v>
      </c>
      <c r="I57" s="259"/>
      <c r="O57" s="82">
        <v>0.94</v>
      </c>
      <c r="P57" s="82">
        <f t="shared" si="8"/>
        <v>10.189599999999999</v>
      </c>
      <c r="T57" s="92" t="s">
        <v>111</v>
      </c>
      <c r="U57" s="87">
        <v>1.1499999999999999</v>
      </c>
      <c r="W57" s="131"/>
      <c r="X57" s="10"/>
      <c r="Y57" s="10"/>
      <c r="Z57" s="10"/>
      <c r="AA57" s="10"/>
      <c r="AB57" s="94"/>
      <c r="AC57" s="10"/>
      <c r="AD57" s="2">
        <f t="shared" si="0"/>
        <v>0</v>
      </c>
      <c r="AE57" s="135" t="e">
        <f t="shared" si="1"/>
        <v>#DIV/0!</v>
      </c>
    </row>
    <row r="58" spans="2:31" x14ac:dyDescent="0.25">
      <c r="B58" s="263">
        <v>42649</v>
      </c>
      <c r="C58" s="258">
        <v>250</v>
      </c>
      <c r="D58" s="259">
        <v>11.884399999999999</v>
      </c>
      <c r="E58" s="259">
        <v>12.39</v>
      </c>
      <c r="F58" s="259">
        <f t="shared" si="5"/>
        <v>126.40000000000029</v>
      </c>
      <c r="G58" s="259">
        <f t="shared" si="6"/>
        <v>2971.1</v>
      </c>
      <c r="H58" s="273">
        <f t="shared" si="7"/>
        <v>4.2543165830837164E-2</v>
      </c>
      <c r="I58" s="259"/>
      <c r="O58" s="82">
        <v>0.93</v>
      </c>
      <c r="P58" s="82">
        <f t="shared" si="8"/>
        <v>10.081200000000001</v>
      </c>
      <c r="T58" s="92" t="s">
        <v>108</v>
      </c>
      <c r="U58" s="87" t="s">
        <v>572</v>
      </c>
      <c r="W58" s="131"/>
      <c r="X58" s="10"/>
      <c r="Y58" s="10"/>
      <c r="Z58" s="10"/>
      <c r="AA58" s="10"/>
      <c r="AB58" s="94"/>
      <c r="AC58" s="10"/>
      <c r="AD58" s="2">
        <f t="shared" si="0"/>
        <v>0</v>
      </c>
      <c r="AE58" s="135" t="e">
        <f t="shared" si="1"/>
        <v>#DIV/0!</v>
      </c>
    </row>
    <row r="59" spans="2:31" x14ac:dyDescent="0.25">
      <c r="B59" s="263">
        <v>42668</v>
      </c>
      <c r="C59" s="258">
        <v>250</v>
      </c>
      <c r="D59" s="259">
        <v>11.884399999999999</v>
      </c>
      <c r="E59" s="259">
        <v>11.85</v>
      </c>
      <c r="F59" s="259">
        <f t="shared" si="5"/>
        <v>-8.599999999999941</v>
      </c>
      <c r="G59" s="259">
        <f t="shared" si="6"/>
        <v>2971.1</v>
      </c>
      <c r="H59" s="273">
        <f t="shared" si="7"/>
        <v>-2.8945508397562993E-3</v>
      </c>
      <c r="I59" s="259"/>
      <c r="O59" s="82">
        <v>0.92</v>
      </c>
      <c r="P59" s="82">
        <f t="shared" si="8"/>
        <v>9.9727999999999994</v>
      </c>
      <c r="W59" s="131"/>
      <c r="X59" s="10"/>
      <c r="Y59" s="10"/>
      <c r="Z59" s="10"/>
      <c r="AA59" s="10"/>
      <c r="AB59" s="94"/>
      <c r="AC59" s="10"/>
      <c r="AD59" s="2">
        <f t="shared" si="0"/>
        <v>0</v>
      </c>
      <c r="AE59" s="135" t="e">
        <f t="shared" si="1"/>
        <v>#DIV/0!</v>
      </c>
    </row>
    <row r="60" spans="2:31" x14ac:dyDescent="0.25">
      <c r="B60" s="263">
        <v>42670</v>
      </c>
      <c r="C60" s="258">
        <v>450</v>
      </c>
      <c r="D60" s="259">
        <v>11.7936</v>
      </c>
      <c r="E60" s="259">
        <v>11.74</v>
      </c>
      <c r="F60" s="259">
        <f t="shared" si="5"/>
        <v>-24.119999999999742</v>
      </c>
      <c r="G60" s="259">
        <f t="shared" si="6"/>
        <v>5307.12</v>
      </c>
      <c r="H60" s="273">
        <f t="shared" si="7"/>
        <v>-4.5448378781711629E-3</v>
      </c>
      <c r="I60" s="259"/>
      <c r="O60" s="82">
        <v>0.91</v>
      </c>
      <c r="P60" s="82">
        <f t="shared" si="8"/>
        <v>9.8643999999999998</v>
      </c>
      <c r="W60" s="131"/>
      <c r="X60" s="10"/>
      <c r="Y60" s="10"/>
      <c r="Z60" s="10"/>
      <c r="AA60" s="10"/>
      <c r="AB60" s="94"/>
      <c r="AC60" s="10"/>
      <c r="AD60" s="2">
        <f t="shared" si="0"/>
        <v>0</v>
      </c>
      <c r="AE60" s="135" t="e">
        <f t="shared" si="1"/>
        <v>#DIV/0!</v>
      </c>
    </row>
    <row r="61" spans="2:31" x14ac:dyDescent="0.25">
      <c r="B61" s="263">
        <v>42676</v>
      </c>
      <c r="C61" s="258">
        <v>450</v>
      </c>
      <c r="D61" s="259">
        <v>11.7936</v>
      </c>
      <c r="E61" s="259">
        <v>11.4</v>
      </c>
      <c r="F61" s="259">
        <f t="shared" si="5"/>
        <v>-177.11999999999966</v>
      </c>
      <c r="G61" s="259">
        <f t="shared" si="6"/>
        <v>5307.12</v>
      </c>
      <c r="H61" s="273">
        <f t="shared" si="7"/>
        <v>-3.3374033374033316E-2</v>
      </c>
      <c r="I61" s="259"/>
      <c r="O61" s="82">
        <v>0.9</v>
      </c>
      <c r="P61" s="82">
        <f t="shared" si="8"/>
        <v>9.7560000000000002</v>
      </c>
      <c r="W61" s="131"/>
      <c r="X61" s="10"/>
      <c r="Y61" s="10"/>
      <c r="Z61" s="10"/>
      <c r="AA61" s="10"/>
      <c r="AB61" s="94"/>
      <c r="AC61" s="10"/>
      <c r="AD61" s="2">
        <f t="shared" si="0"/>
        <v>0</v>
      </c>
      <c r="AE61" s="135" t="e">
        <f t="shared" si="1"/>
        <v>#DIV/0!</v>
      </c>
    </row>
    <row r="62" spans="2:31" x14ac:dyDescent="0.25">
      <c r="B62" s="263">
        <v>42701</v>
      </c>
      <c r="C62" s="258">
        <v>200</v>
      </c>
      <c r="D62" s="259">
        <v>11.610900000000001</v>
      </c>
      <c r="E62" s="259">
        <v>12.04</v>
      </c>
      <c r="F62" s="259">
        <f t="shared" si="5"/>
        <v>85.819999999999652</v>
      </c>
      <c r="G62" s="259">
        <f t="shared" si="6"/>
        <v>2322.1800000000003</v>
      </c>
      <c r="H62" s="273">
        <f t="shared" si="7"/>
        <v>3.6956652800385695E-2</v>
      </c>
      <c r="I62" s="259"/>
      <c r="W62" s="131"/>
      <c r="X62" s="10"/>
      <c r="Y62" s="10"/>
      <c r="Z62" s="10"/>
      <c r="AA62" s="10"/>
      <c r="AB62" s="94"/>
      <c r="AC62" s="10"/>
      <c r="AD62" s="2">
        <f t="shared" si="0"/>
        <v>0</v>
      </c>
      <c r="AE62" s="135" t="e">
        <f t="shared" si="1"/>
        <v>#DIV/0!</v>
      </c>
    </row>
    <row r="63" spans="2:31" x14ac:dyDescent="0.25">
      <c r="B63" s="263">
        <v>42706</v>
      </c>
      <c r="C63" s="258">
        <v>200</v>
      </c>
      <c r="D63" s="259">
        <v>11.423400000000001</v>
      </c>
      <c r="E63" s="259">
        <v>12.24</v>
      </c>
      <c r="F63" s="259">
        <f t="shared" si="5"/>
        <v>163.31999999999988</v>
      </c>
      <c r="G63" s="259">
        <f t="shared" si="6"/>
        <v>2284.6800000000003</v>
      </c>
      <c r="H63" s="273">
        <f t="shared" si="7"/>
        <v>7.1484846893219114E-2</v>
      </c>
      <c r="I63" s="259"/>
      <c r="W63" s="131"/>
      <c r="X63" s="10"/>
      <c r="Y63" s="10"/>
      <c r="Z63" s="10"/>
      <c r="AA63" s="10"/>
      <c r="AB63" s="94"/>
      <c r="AC63" s="10"/>
      <c r="AD63" s="2">
        <f t="shared" si="0"/>
        <v>0</v>
      </c>
      <c r="AE63" s="135" t="e">
        <f t="shared" si="1"/>
        <v>#DIV/0!</v>
      </c>
    </row>
    <row r="64" spans="2:31" x14ac:dyDescent="0.25">
      <c r="B64" s="263">
        <v>42711</v>
      </c>
      <c r="C64" s="258">
        <v>0</v>
      </c>
      <c r="D64" s="259"/>
      <c r="E64" s="259"/>
      <c r="F64" s="259">
        <v>251.26</v>
      </c>
      <c r="G64" s="259"/>
      <c r="H64" s="273"/>
      <c r="I64" s="259"/>
      <c r="W64" s="131"/>
      <c r="X64" s="10"/>
      <c r="Y64" s="10"/>
      <c r="Z64" s="10"/>
      <c r="AA64" s="10"/>
      <c r="AB64" s="94"/>
      <c r="AC64" s="10"/>
      <c r="AD64" s="2">
        <f t="shared" si="0"/>
        <v>0</v>
      </c>
      <c r="AE64" s="135" t="e">
        <f t="shared" si="1"/>
        <v>#DIV/0!</v>
      </c>
    </row>
    <row r="65" spans="2:31" x14ac:dyDescent="0.25">
      <c r="B65" s="190"/>
      <c r="C65" s="10"/>
      <c r="D65" s="40"/>
      <c r="E65" s="40"/>
      <c r="F65" s="40"/>
      <c r="G65" s="40"/>
      <c r="H65" s="228"/>
      <c r="I65" s="40"/>
      <c r="W65" s="131"/>
      <c r="X65" s="10"/>
      <c r="Y65" s="10"/>
      <c r="Z65" s="10"/>
      <c r="AA65" s="10"/>
      <c r="AB65" s="94"/>
      <c r="AC65" s="10"/>
      <c r="AD65" s="2">
        <f t="shared" si="0"/>
        <v>0</v>
      </c>
      <c r="AE65" s="135" t="e">
        <f t="shared" si="1"/>
        <v>#DIV/0!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40"/>
      <c r="W66" s="131"/>
      <c r="X66" s="10"/>
      <c r="Y66" s="10"/>
      <c r="Z66" s="10"/>
      <c r="AA66" s="10"/>
      <c r="AB66" s="94"/>
      <c r="AC66" s="10"/>
      <c r="AD66" s="2">
        <f t="shared" si="0"/>
        <v>0</v>
      </c>
      <c r="AE66" s="135" t="e">
        <f t="shared" si="1"/>
        <v>#DIV/0!</v>
      </c>
    </row>
    <row r="67" spans="2:31" x14ac:dyDescent="0.25">
      <c r="B67" s="190"/>
      <c r="C67" s="10"/>
      <c r="D67" s="40"/>
      <c r="E67" s="40"/>
      <c r="F67" s="40"/>
      <c r="G67" s="40"/>
      <c r="H67" s="228"/>
      <c r="I67" s="40"/>
      <c r="W67" s="131"/>
      <c r="X67" s="10"/>
      <c r="Y67" s="10"/>
      <c r="Z67" s="10"/>
      <c r="AA67" s="10"/>
      <c r="AB67" s="94"/>
      <c r="AC67" s="10"/>
      <c r="AD67" s="2">
        <f>Y67-Z67</f>
        <v>0</v>
      </c>
      <c r="AE67" s="135" t="e">
        <f>AC67/#REF!-1</f>
        <v>#REF!</v>
      </c>
    </row>
    <row r="68" spans="2:31" x14ac:dyDescent="0.25">
      <c r="B68" s="190"/>
      <c r="C68" s="10"/>
      <c r="D68" s="40"/>
      <c r="E68" s="40"/>
      <c r="F68" s="40"/>
      <c r="G68" s="40"/>
      <c r="H68" s="228"/>
      <c r="I68" s="40"/>
      <c r="W68" s="131"/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#REF!/#REF!-1</f>
        <v>#REF!</v>
      </c>
    </row>
    <row r="69" spans="2:31" x14ac:dyDescent="0.25">
      <c r="B69" s="190"/>
      <c r="C69" s="10"/>
      <c r="D69" s="40"/>
      <c r="E69" s="40"/>
      <c r="F69" s="40"/>
      <c r="G69" s="40"/>
      <c r="H69" s="228"/>
      <c r="I69" s="40"/>
      <c r="W69" s="131"/>
      <c r="X69" s="10"/>
      <c r="Y69" s="10"/>
      <c r="Z69" s="10"/>
      <c r="AA69" s="10"/>
      <c r="AB69" s="94"/>
      <c r="AC69" s="10"/>
      <c r="AD69" s="2" t="e">
        <f>#REF!-#REF!</f>
        <v>#REF!</v>
      </c>
      <c r="AE69" s="135" t="e">
        <f>#REF!/AC69-1</f>
        <v>#REF!</v>
      </c>
    </row>
    <row r="70" spans="2:31" x14ac:dyDescent="0.25">
      <c r="B70" s="190"/>
      <c r="C70" s="10"/>
      <c r="D70" s="40"/>
      <c r="E70" s="40"/>
      <c r="F70" s="40"/>
      <c r="G70" s="40"/>
      <c r="H70" s="228"/>
      <c r="I70" s="40"/>
    </row>
    <row r="71" spans="2:31" x14ac:dyDescent="0.25">
      <c r="B71" s="190"/>
      <c r="C71" s="10"/>
      <c r="D71" s="40"/>
      <c r="E71" s="40"/>
      <c r="F71" s="40"/>
      <c r="G71" s="40"/>
      <c r="H71" s="228"/>
      <c r="I71" s="40"/>
    </row>
    <row r="72" spans="2:31" x14ac:dyDescent="0.25">
      <c r="B72" s="190"/>
      <c r="C72" s="10"/>
      <c r="D72" s="40"/>
      <c r="E72" s="40"/>
      <c r="F72" s="40"/>
      <c r="G72" s="40"/>
      <c r="H72" s="228"/>
      <c r="I72" s="40"/>
    </row>
    <row r="73" spans="2:31" x14ac:dyDescent="0.25">
      <c r="B73" s="190"/>
      <c r="C73" s="10"/>
      <c r="D73" s="40"/>
      <c r="E73" s="40"/>
      <c r="F73" s="40"/>
      <c r="G73" s="40"/>
      <c r="H73" s="228"/>
      <c r="I73" s="40"/>
    </row>
    <row r="74" spans="2:31" x14ac:dyDescent="0.25">
      <c r="B74" s="190"/>
      <c r="C74" s="10"/>
      <c r="D74" s="40"/>
      <c r="E74" s="40"/>
      <c r="F74" s="40"/>
      <c r="G74" s="40"/>
      <c r="H74" s="228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6" t="s">
        <v>1</v>
      </c>
      <c r="B93" s="536" t="s">
        <v>2</v>
      </c>
      <c r="C93" s="536" t="s">
        <v>4</v>
      </c>
      <c r="D93" s="537" t="s">
        <v>5</v>
      </c>
      <c r="E93" s="537" t="s">
        <v>94</v>
      </c>
      <c r="F93" s="537" t="s">
        <v>60</v>
      </c>
      <c r="G93" s="536" t="s">
        <v>3</v>
      </c>
      <c r="H93" s="536" t="s">
        <v>6</v>
      </c>
      <c r="I93" s="537" t="s">
        <v>7</v>
      </c>
      <c r="J93" s="537" t="s">
        <v>95</v>
      </c>
      <c r="K93" s="537" t="s">
        <v>61</v>
      </c>
      <c r="L93" s="536" t="s">
        <v>37</v>
      </c>
      <c r="M93" s="536" t="s">
        <v>38</v>
      </c>
    </row>
    <row r="94" spans="1:13" x14ac:dyDescent="0.25">
      <c r="A94" s="538" t="s">
        <v>198</v>
      </c>
      <c r="B94" s="520">
        <v>42488</v>
      </c>
      <c r="C94" s="521">
        <v>100</v>
      </c>
      <c r="D94" s="523">
        <v>13.8</v>
      </c>
      <c r="E94" s="523">
        <v>0</v>
      </c>
      <c r="F94" s="523">
        <f t="shared" ref="F94:F100" si="9">D94*C94+E94</f>
        <v>1380</v>
      </c>
      <c r="G94" s="520">
        <v>42515</v>
      </c>
      <c r="H94" s="521">
        <v>100</v>
      </c>
      <c r="I94" s="523">
        <v>13.59</v>
      </c>
      <c r="J94" s="523">
        <v>0.03</v>
      </c>
      <c r="K94" s="523">
        <f t="shared" ref="K94:K99" si="10">I94*H94-J94</f>
        <v>1358.97</v>
      </c>
      <c r="L94" s="520">
        <v>42614</v>
      </c>
      <c r="M94" s="523">
        <v>45</v>
      </c>
    </row>
    <row r="95" spans="1:13" x14ac:dyDescent="0.25">
      <c r="A95" s="540" t="s">
        <v>71</v>
      </c>
      <c r="B95" s="520">
        <v>42507</v>
      </c>
      <c r="C95" s="521">
        <v>100</v>
      </c>
      <c r="D95" s="523">
        <v>13.08</v>
      </c>
      <c r="E95" s="523">
        <v>0</v>
      </c>
      <c r="F95" s="523">
        <f t="shared" si="9"/>
        <v>1308</v>
      </c>
      <c r="G95" s="520">
        <v>42559</v>
      </c>
      <c r="H95" s="539">
        <v>100</v>
      </c>
      <c r="I95" s="523">
        <v>13.08</v>
      </c>
      <c r="J95" s="523">
        <v>0.03</v>
      </c>
      <c r="K95" s="523">
        <f t="shared" si="10"/>
        <v>1307.97</v>
      </c>
      <c r="L95" s="520">
        <v>42705</v>
      </c>
      <c r="M95" s="523">
        <v>37.5</v>
      </c>
    </row>
    <row r="96" spans="1:13" x14ac:dyDescent="0.25">
      <c r="A96" s="521"/>
      <c r="B96" s="520">
        <v>42545</v>
      </c>
      <c r="C96" s="521">
        <v>50</v>
      </c>
      <c r="D96" s="523">
        <v>12.75</v>
      </c>
      <c r="E96" s="523">
        <v>0</v>
      </c>
      <c r="F96" s="523">
        <f t="shared" si="9"/>
        <v>637.5</v>
      </c>
      <c r="G96" s="520">
        <v>42577</v>
      </c>
      <c r="H96" s="539">
        <v>50</v>
      </c>
      <c r="I96" s="523">
        <v>13.78</v>
      </c>
      <c r="J96" s="523">
        <v>0.02</v>
      </c>
      <c r="K96" s="523">
        <f t="shared" si="10"/>
        <v>688.98</v>
      </c>
      <c r="L96" s="521"/>
      <c r="M96" s="521"/>
    </row>
    <row r="97" spans="1:13" x14ac:dyDescent="0.25">
      <c r="A97" s="521"/>
      <c r="B97" s="520">
        <v>42545</v>
      </c>
      <c r="C97" s="521">
        <v>100</v>
      </c>
      <c r="D97" s="523">
        <v>12.75</v>
      </c>
      <c r="E97" s="523">
        <v>0</v>
      </c>
      <c r="F97" s="523">
        <f t="shared" si="9"/>
        <v>1275</v>
      </c>
      <c r="G97" s="520">
        <v>42620</v>
      </c>
      <c r="H97" s="539">
        <v>100</v>
      </c>
      <c r="I97" s="523">
        <v>12.7</v>
      </c>
      <c r="J97" s="523">
        <v>0.53</v>
      </c>
      <c r="K97" s="523">
        <f t="shared" si="10"/>
        <v>1269.47</v>
      </c>
      <c r="L97" s="521"/>
      <c r="M97" s="521"/>
    </row>
    <row r="98" spans="1:13" x14ac:dyDescent="0.25">
      <c r="A98" s="521"/>
      <c r="B98" s="520">
        <v>42548</v>
      </c>
      <c r="C98" s="521">
        <v>150</v>
      </c>
      <c r="D98" s="523">
        <v>12.18</v>
      </c>
      <c r="E98" s="523">
        <v>0</v>
      </c>
      <c r="F98" s="523">
        <f t="shared" si="9"/>
        <v>1827</v>
      </c>
      <c r="G98" s="520">
        <v>42684</v>
      </c>
      <c r="H98" s="539">
        <v>250</v>
      </c>
      <c r="I98" s="523">
        <v>11.94</v>
      </c>
      <c r="J98" s="523">
        <v>7.0000000000000007E-2</v>
      </c>
      <c r="K98" s="523">
        <f t="shared" si="10"/>
        <v>2984.93</v>
      </c>
      <c r="L98" s="521"/>
      <c r="M98" s="521"/>
    </row>
    <row r="99" spans="1:13" x14ac:dyDescent="0.25">
      <c r="A99" s="521"/>
      <c r="B99" s="520">
        <v>42627</v>
      </c>
      <c r="C99" s="521">
        <v>100</v>
      </c>
      <c r="D99" s="523">
        <v>12.14</v>
      </c>
      <c r="E99" s="523">
        <v>0</v>
      </c>
      <c r="F99" s="523">
        <f t="shared" si="9"/>
        <v>1214</v>
      </c>
      <c r="G99" s="520">
        <v>42711</v>
      </c>
      <c r="H99" s="539">
        <v>200</v>
      </c>
      <c r="I99" s="523">
        <v>12.68</v>
      </c>
      <c r="J99" s="523">
        <v>0.06</v>
      </c>
      <c r="K99" s="523">
        <f t="shared" si="10"/>
        <v>2535.94</v>
      </c>
      <c r="L99" s="521"/>
      <c r="M99" s="521"/>
    </row>
    <row r="100" spans="1:13" x14ac:dyDescent="0.25">
      <c r="A100" s="521"/>
      <c r="B100" s="520">
        <v>42670</v>
      </c>
      <c r="C100" s="521">
        <v>200</v>
      </c>
      <c r="D100" s="523">
        <v>11.68</v>
      </c>
      <c r="E100" s="523">
        <v>0</v>
      </c>
      <c r="F100" s="523">
        <f t="shared" si="9"/>
        <v>2336</v>
      </c>
      <c r="G100" s="521"/>
      <c r="H100" s="539"/>
      <c r="I100" s="523"/>
      <c r="J100" s="523"/>
      <c r="K100" s="523"/>
      <c r="L100" s="521"/>
      <c r="M100" s="521"/>
    </row>
    <row r="101" spans="1:13" x14ac:dyDescent="0.25">
      <c r="A101" s="521"/>
      <c r="B101" s="521"/>
      <c r="C101" s="521"/>
      <c r="D101" s="523"/>
      <c r="E101" s="523"/>
      <c r="F101" s="523"/>
      <c r="G101" s="521"/>
      <c r="H101" s="539"/>
      <c r="I101" s="523"/>
      <c r="J101" s="523"/>
      <c r="K101" s="523"/>
      <c r="L101" s="521"/>
      <c r="M101" s="521"/>
    </row>
    <row r="102" spans="1:13" x14ac:dyDescent="0.25">
      <c r="A102" s="521"/>
      <c r="B102" s="521"/>
      <c r="C102" s="521"/>
      <c r="D102" s="523"/>
      <c r="E102" s="523"/>
      <c r="F102" s="523"/>
      <c r="G102" s="521"/>
      <c r="H102" s="539"/>
      <c r="I102" s="523"/>
      <c r="J102" s="523"/>
      <c r="K102" s="523"/>
      <c r="L102" s="521"/>
      <c r="M102" s="521"/>
    </row>
    <row r="103" spans="1:13" x14ac:dyDescent="0.25">
      <c r="A103" s="521"/>
      <c r="B103" s="521"/>
      <c r="C103" s="521"/>
      <c r="D103" s="523"/>
      <c r="E103" s="523"/>
      <c r="F103" s="523"/>
      <c r="G103" s="521"/>
      <c r="H103" s="539"/>
      <c r="I103" s="523"/>
      <c r="J103" s="523"/>
      <c r="K103" s="523"/>
      <c r="L103" s="521"/>
      <c r="M103" s="521"/>
    </row>
    <row r="104" spans="1:13" x14ac:dyDescent="0.25">
      <c r="A104" s="521"/>
      <c r="B104" s="521"/>
      <c r="C104" s="521"/>
      <c r="D104" s="523"/>
      <c r="E104" s="523"/>
      <c r="F104" s="523"/>
      <c r="G104" s="521"/>
      <c r="H104" s="539"/>
      <c r="I104" s="523"/>
      <c r="J104" s="523"/>
      <c r="K104" s="523"/>
      <c r="L104" s="521"/>
      <c r="M104" s="521"/>
    </row>
    <row r="105" spans="1:13" x14ac:dyDescent="0.25">
      <c r="A105" s="521"/>
      <c r="B105" s="521"/>
      <c r="C105" s="521"/>
      <c r="D105" s="523"/>
      <c r="E105" s="523"/>
      <c r="F105" s="523"/>
      <c r="G105" s="521"/>
      <c r="H105" s="539"/>
      <c r="I105" s="523"/>
      <c r="J105" s="523"/>
      <c r="K105" s="523"/>
      <c r="L105" s="521"/>
      <c r="M105" s="521"/>
    </row>
    <row r="106" spans="1:13" x14ac:dyDescent="0.25">
      <c r="A106" s="521"/>
      <c r="B106" s="521"/>
      <c r="C106" s="521"/>
      <c r="D106" s="523"/>
      <c r="E106" s="523"/>
      <c r="F106" s="523"/>
      <c r="G106" s="521"/>
      <c r="H106" s="539"/>
      <c r="I106" s="523"/>
      <c r="J106" s="523"/>
      <c r="K106" s="523"/>
      <c r="L106" s="521"/>
      <c r="M106" s="521"/>
    </row>
    <row r="107" spans="1:13" x14ac:dyDescent="0.25">
      <c r="A107" s="521"/>
      <c r="B107" s="521"/>
      <c r="C107" s="521"/>
      <c r="D107" s="523"/>
      <c r="E107" s="523"/>
      <c r="F107" s="523"/>
      <c r="G107" s="521"/>
      <c r="H107" s="539"/>
      <c r="I107" s="523"/>
      <c r="J107" s="523"/>
      <c r="K107" s="523"/>
      <c r="L107" s="521"/>
      <c r="M107" s="521"/>
    </row>
    <row r="108" spans="1:13" x14ac:dyDescent="0.25">
      <c r="A108" s="521"/>
      <c r="B108" s="521"/>
      <c r="C108" s="521"/>
      <c r="D108" s="523"/>
      <c r="E108" s="523"/>
      <c r="F108" s="523"/>
      <c r="G108" s="521"/>
      <c r="H108" s="539"/>
      <c r="I108" s="523"/>
      <c r="J108" s="523"/>
      <c r="K108" s="523"/>
      <c r="L108" s="521"/>
      <c r="M108" s="521"/>
    </row>
    <row r="109" spans="1:13" x14ac:dyDescent="0.25">
      <c r="A109" s="521"/>
      <c r="B109" s="521"/>
      <c r="C109" s="521"/>
      <c r="D109" s="523"/>
      <c r="E109" s="523"/>
      <c r="F109" s="523"/>
      <c r="G109" s="521"/>
      <c r="H109" s="539"/>
      <c r="I109" s="523"/>
      <c r="J109" s="523"/>
      <c r="K109" s="523"/>
      <c r="L109" s="521"/>
      <c r="M109" s="521"/>
    </row>
    <row r="110" spans="1:13" x14ac:dyDescent="0.25">
      <c r="A110" s="541" t="s">
        <v>81</v>
      </c>
      <c r="B110" s="542"/>
      <c r="C110" s="542">
        <f>SUM(C94:C100)</f>
        <v>800</v>
      </c>
      <c r="D110" s="543"/>
      <c r="E110" s="543"/>
      <c r="F110" s="543">
        <f>SUM(F94:F100)</f>
        <v>9977.5</v>
      </c>
      <c r="G110" s="542"/>
      <c r="H110" s="542">
        <f>SUM(H94:H109)</f>
        <v>800</v>
      </c>
      <c r="I110" s="543"/>
      <c r="J110" s="543"/>
      <c r="K110" s="543">
        <f>SUM(K94:K109)</f>
        <v>10146.26</v>
      </c>
      <c r="L110" s="542"/>
      <c r="M110" s="543">
        <f>SUM(M94:M109)</f>
        <v>82.5</v>
      </c>
    </row>
    <row r="111" spans="1:13" ht="15.75" thickBot="1" x14ac:dyDescent="0.3">
      <c r="A111" s="544" t="s">
        <v>195</v>
      </c>
      <c r="B111" s="545"/>
      <c r="C111" s="546">
        <f>SumByColor($A$19,C94:C109)</f>
        <v>0</v>
      </c>
      <c r="D111" s="546"/>
      <c r="E111" s="546"/>
      <c r="F111" s="547">
        <f>SumByColor($A$19,F94:F109)</f>
        <v>0</v>
      </c>
      <c r="G111" s="546"/>
      <c r="H111" s="546">
        <f>SumByColor($A$19,H94:H109)</f>
        <v>0</v>
      </c>
      <c r="I111" s="546"/>
      <c r="J111" s="546"/>
      <c r="K111" s="547">
        <f>SumByColor($A$19,K94:K109)</f>
        <v>0</v>
      </c>
      <c r="L111" s="546"/>
      <c r="M111" s="547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48" priority="25">
      <formula>F30&gt;0</formula>
    </cfRule>
    <cfRule type="expression" dxfId="947" priority="26">
      <formula>F30&lt;0</formula>
    </cfRule>
  </conditionalFormatting>
  <conditionalFormatting sqref="F34:F42 F46:F74">
    <cfRule type="expression" dxfId="946" priority="21">
      <formula>F34&gt;0</formula>
    </cfRule>
    <cfRule type="expression" dxfId="945" priority="22">
      <formula>F34&lt;0</formula>
    </cfRule>
  </conditionalFormatting>
  <conditionalFormatting sqref="F34:F42 F46:F74">
    <cfRule type="expression" dxfId="944" priority="23">
      <formula>F34&gt;0</formula>
    </cfRule>
    <cfRule type="expression" dxfId="943" priority="24">
      <formula>F34&lt;0</formula>
    </cfRule>
  </conditionalFormatting>
  <conditionalFormatting sqref="H30:H42 H46:H74">
    <cfRule type="expression" dxfId="942" priority="19">
      <formula>H30&gt;0</formula>
    </cfRule>
    <cfRule type="expression" dxfId="941" priority="20">
      <formula>H30&lt;0</formula>
    </cfRule>
  </conditionalFormatting>
  <conditionalFormatting sqref="F25:F29">
    <cfRule type="expression" dxfId="940" priority="13">
      <formula>F25&gt;0</formula>
    </cfRule>
    <cfRule type="expression" dxfId="939" priority="14">
      <formula>F25&lt;0</formula>
    </cfRule>
  </conditionalFormatting>
  <conditionalFormatting sqref="H25:H29">
    <cfRule type="expression" dxfId="938" priority="11">
      <formula>H25&gt;0</formula>
    </cfRule>
    <cfRule type="expression" dxfId="937" priority="12">
      <formula>H25&lt;0</formula>
    </cfRule>
  </conditionalFormatting>
  <conditionalFormatting sqref="Q7">
    <cfRule type="expression" dxfId="936" priority="9">
      <formula>Q7&gt;0</formula>
    </cfRule>
    <cfRule type="expression" dxfId="935" priority="10">
      <formula>Q7&lt;0</formula>
    </cfRule>
  </conditionalFormatting>
  <conditionalFormatting sqref="Q8">
    <cfRule type="expression" dxfId="934" priority="7">
      <formula>Q8&gt;0</formula>
    </cfRule>
    <cfRule type="expression" dxfId="933" priority="8">
      <formula>Q8&lt;0</formula>
    </cfRule>
  </conditionalFormatting>
  <conditionalFormatting sqref="F43:F45">
    <cfRule type="expression" dxfId="932" priority="3">
      <formula>F43&gt;0</formula>
    </cfRule>
    <cfRule type="expression" dxfId="931" priority="4">
      <formula>F43&lt;0</formula>
    </cfRule>
  </conditionalFormatting>
  <conditionalFormatting sqref="F43:F45">
    <cfRule type="expression" dxfId="930" priority="5">
      <formula>F43&gt;0</formula>
    </cfRule>
    <cfRule type="expression" dxfId="929" priority="6">
      <formula>F43&lt;0</formula>
    </cfRule>
  </conditionalFormatting>
  <conditionalFormatting sqref="H43:H45">
    <cfRule type="expression" dxfId="928" priority="1">
      <formula>H43&gt;0</formula>
    </cfRule>
    <cfRule type="expression" dxfId="927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277</v>
      </c>
      <c r="B2" s="499"/>
      <c r="C2" s="4"/>
      <c r="D2" s="3"/>
      <c r="E2" s="3"/>
      <c r="F2" s="3"/>
      <c r="G2" s="499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243</v>
      </c>
      <c r="W2" s="131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5">
        <f>AC2/AC3-1</f>
        <v>9.6246390760335032E-4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133.38</v>
      </c>
      <c r="T3" s="1" t="s">
        <v>244</v>
      </c>
      <c r="W3" s="131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5">
        <f t="shared" ref="AE3:AE66" si="1">AC3/AC4-1</f>
        <v>-8.0198893255167825E-5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133.38</v>
      </c>
      <c r="R4" s="497">
        <v>-6.9999999999999999E-4</v>
      </c>
      <c r="T4" s="160"/>
      <c r="U4" s="1"/>
      <c r="W4" s="131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5">
        <f t="shared" si="1"/>
        <v>1.1240465676434219E-3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5">
        <f t="shared" si="1"/>
        <v>-8.8240012834905901E-4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5">
        <f t="shared" si="1"/>
        <v>-2.0813320525135959E-3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1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5">
        <f t="shared" si="1"/>
        <v>-5.8889065732929957E-3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5">
        <f t="shared" si="1"/>
        <v>-1.1128775834657878E-3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5">
        <f t="shared" si="1"/>
        <v>2.5502072043352975E-3</v>
      </c>
    </row>
    <row r="10" spans="1:31" x14ac:dyDescent="0.25">
      <c r="G10" s="30"/>
      <c r="H10" s="71"/>
      <c r="O10" s="11" t="s">
        <v>210</v>
      </c>
      <c r="P10" s="34"/>
      <c r="Q10" s="2">
        <f>M74</f>
        <v>154.77999999999975</v>
      </c>
      <c r="W10" s="131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5">
        <f t="shared" si="1"/>
        <v>-3.3359809372518479E-3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2.5700000000000001E-2</v>
      </c>
      <c r="W11" s="131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5">
        <f t="shared" si="1"/>
        <v>-2.8512593061935654E-3</v>
      </c>
    </row>
    <row r="12" spans="1:31" x14ac:dyDescent="0.25">
      <c r="G12" s="30"/>
      <c r="H12" s="71"/>
      <c r="W12" s="131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5">
        <f t="shared" si="1"/>
        <v>-7.7799607072691623E-3</v>
      </c>
    </row>
    <row r="13" spans="1:31" x14ac:dyDescent="0.25">
      <c r="G13" s="30"/>
      <c r="H13" s="71"/>
      <c r="W13" s="131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5">
        <f t="shared" si="1"/>
        <v>-6.4027484969156889E-3</v>
      </c>
    </row>
    <row r="14" spans="1:31" x14ac:dyDescent="0.25">
      <c r="G14" s="30"/>
      <c r="H14" s="71"/>
      <c r="W14" s="131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5">
        <f t="shared" si="1"/>
        <v>7.808839606426865E-5</v>
      </c>
    </row>
    <row r="15" spans="1:31" x14ac:dyDescent="0.25">
      <c r="G15" s="30"/>
      <c r="H15" s="71"/>
      <c r="W15" s="131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5">
        <f t="shared" si="1"/>
        <v>-3.1138097462245495E-3</v>
      </c>
    </row>
    <row r="16" spans="1:31" x14ac:dyDescent="0.25">
      <c r="G16" s="30"/>
      <c r="H16" s="71"/>
      <c r="W16" s="131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5">
        <f t="shared" si="1"/>
        <v>-3.8771712158809368E-3</v>
      </c>
    </row>
    <row r="17" spans="1:31" x14ac:dyDescent="0.25">
      <c r="G17" s="30"/>
      <c r="W17" s="131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5">
        <f t="shared" si="1"/>
        <v>1.5033451397087783E-2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5">
        <f t="shared" si="1"/>
        <v>2.9207451847172994E-3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5">
        <f t="shared" si="1"/>
        <v>3.723952143253495E-3</v>
      </c>
    </row>
    <row r="20" spans="1:31" x14ac:dyDescent="0.25">
      <c r="W20" s="131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5">
        <f t="shared" si="1"/>
        <v>2.0643112346168113E-3</v>
      </c>
    </row>
    <row r="21" spans="1:31" x14ac:dyDescent="0.25">
      <c r="W21" s="131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5">
        <f t="shared" si="1"/>
        <v>1.4907332796132211E-2</v>
      </c>
    </row>
    <row r="22" spans="1:31" x14ac:dyDescent="0.25">
      <c r="W22" s="131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5">
        <f t="shared" si="1"/>
        <v>2.180408624727459E-3</v>
      </c>
    </row>
    <row r="23" spans="1:31" x14ac:dyDescent="0.25">
      <c r="W23" s="131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5">
        <f t="shared" si="1"/>
        <v>9.7001050844713887E-4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5">
        <f t="shared" si="1"/>
        <v>-6.4625575571541916E-4</v>
      </c>
    </row>
    <row r="25" spans="1:31" x14ac:dyDescent="0.25">
      <c r="A25" s="4"/>
      <c r="B25" s="154"/>
      <c r="C25" s="10"/>
      <c r="D25" s="40"/>
      <c r="E25" s="40"/>
      <c r="F25" s="40"/>
      <c r="G25" s="40"/>
      <c r="H25" s="228"/>
      <c r="I25" s="40"/>
      <c r="W25" s="131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5">
        <f t="shared" si="1"/>
        <v>1.2941842594840214E-3</v>
      </c>
    </row>
    <row r="26" spans="1:31" x14ac:dyDescent="0.25">
      <c r="A26" s="4"/>
      <c r="B26" s="154"/>
      <c r="C26" s="10"/>
      <c r="D26" s="40"/>
      <c r="E26" s="40"/>
      <c r="F26" s="40"/>
      <c r="G26" s="40"/>
      <c r="H26" s="228"/>
      <c r="I26" s="40"/>
      <c r="W26" s="131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5">
        <f t="shared" si="1"/>
        <v>-1.8569352494752778E-3</v>
      </c>
    </row>
    <row r="27" spans="1:31" x14ac:dyDescent="0.25">
      <c r="A27" s="4"/>
      <c r="B27" s="154"/>
      <c r="C27" s="10"/>
      <c r="D27" s="40"/>
      <c r="E27" s="40"/>
      <c r="F27" s="40"/>
      <c r="G27" s="40"/>
      <c r="H27" s="228"/>
      <c r="I27" s="40"/>
      <c r="W27" s="131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5">
        <f t="shared" si="1"/>
        <v>1.3501350135013634E-2</v>
      </c>
    </row>
    <row r="28" spans="1:31" x14ac:dyDescent="0.25">
      <c r="A28" s="4"/>
      <c r="B28" s="154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5">
        <f t="shared" si="1"/>
        <v>-1.5522875816994519E-3</v>
      </c>
    </row>
    <row r="29" spans="1:31" x14ac:dyDescent="0.25">
      <c r="A29" s="4"/>
      <c r="B29" s="154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5">
        <f t="shared" si="1"/>
        <v>-2.6888291371303108E-3</v>
      </c>
    </row>
    <row r="30" spans="1:31" x14ac:dyDescent="0.25">
      <c r="A30" s="4"/>
      <c r="B30" s="154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5" t="e">
        <f t="shared" si="1"/>
        <v>#DIV/0!</v>
      </c>
    </row>
    <row r="31" spans="1:31" x14ac:dyDescent="0.25">
      <c r="A31" s="4"/>
      <c r="B31" s="154"/>
      <c r="C31" s="10"/>
      <c r="D31" s="40"/>
      <c r="E31" s="40"/>
      <c r="F31" s="40"/>
      <c r="G31" s="40"/>
      <c r="H31" s="228"/>
      <c r="I31" s="40"/>
      <c r="W31" s="131">
        <v>42790</v>
      </c>
      <c r="X31" s="10" t="s">
        <v>278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A32" s="4"/>
      <c r="B32" s="154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5">
        <f t="shared" si="1"/>
        <v>1.8276762402088753E-2</v>
      </c>
    </row>
    <row r="33" spans="1:31" x14ac:dyDescent="0.25">
      <c r="A33" s="4"/>
      <c r="B33" s="154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5">
        <f t="shared" si="1"/>
        <v>-1.1777572137628978E-3</v>
      </c>
    </row>
    <row r="34" spans="1:31" x14ac:dyDescent="0.25">
      <c r="A34" s="4"/>
      <c r="B34" s="154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5">
        <f t="shared" si="1"/>
        <v>6.6903794037940223E-3</v>
      </c>
    </row>
    <row r="35" spans="1:31" x14ac:dyDescent="0.25">
      <c r="A35" s="4"/>
      <c r="B35" s="154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5">
        <f t="shared" si="1"/>
        <v>6.6496163682865372E-3</v>
      </c>
    </row>
    <row r="36" spans="1:31" x14ac:dyDescent="0.25">
      <c r="A36" s="4"/>
      <c r="B36" s="154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5">
        <f t="shared" si="1"/>
        <v>7.4723009533623763E-3</v>
      </c>
    </row>
    <row r="37" spans="1:31" x14ac:dyDescent="0.25">
      <c r="B37" s="154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5">
        <f t="shared" si="1"/>
        <v>7.1799307958477776E-3</v>
      </c>
    </row>
    <row r="38" spans="1:31" x14ac:dyDescent="0.25">
      <c r="B38" s="154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5">
        <f t="shared" si="1"/>
        <v>4.1695621959694229E-3</v>
      </c>
    </row>
    <row r="39" spans="1:31" x14ac:dyDescent="0.25">
      <c r="B39" s="154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5">
        <f t="shared" si="1"/>
        <v>5.5904961565338418E-3</v>
      </c>
    </row>
    <row r="40" spans="1:31" ht="20.25" thickBot="1" x14ac:dyDescent="0.35">
      <c r="B40" s="154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5">
        <f t="shared" si="1"/>
        <v>1.0147357275213986E-2</v>
      </c>
    </row>
    <row r="41" spans="1:31" ht="15.75" thickTop="1" x14ac:dyDescent="0.25">
      <c r="B41" s="154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146.71800000000002</v>
      </c>
      <c r="Q41" s="2"/>
      <c r="W41" s="131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5">
        <f t="shared" si="1"/>
        <v>6.0363959165556924E-3</v>
      </c>
    </row>
    <row r="42" spans="1:31" ht="20.25" thickBot="1" x14ac:dyDescent="0.35">
      <c r="B42" s="154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145.38419999999999</v>
      </c>
      <c r="Q42" s="2"/>
      <c r="T42" s="90" t="s">
        <v>112</v>
      </c>
      <c r="W42" s="131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5">
        <f t="shared" si="1"/>
        <v>-7.096602501551752E-4</v>
      </c>
    </row>
    <row r="43" spans="1:31" ht="15.75" thickTop="1" x14ac:dyDescent="0.25">
      <c r="B43" s="154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144.0504</v>
      </c>
      <c r="Q43" s="2"/>
      <c r="T43" s="126" t="s">
        <v>97</v>
      </c>
      <c r="U43" s="127">
        <v>124.68</v>
      </c>
      <c r="W43" s="131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5">
        <f t="shared" si="1"/>
        <v>7.1016422547720559E-4</v>
      </c>
    </row>
    <row r="44" spans="1:31" x14ac:dyDescent="0.25">
      <c r="B44" s="154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142.7166</v>
      </c>
      <c r="Q44" s="2"/>
      <c r="T44" s="92" t="s">
        <v>98</v>
      </c>
      <c r="U44" s="128">
        <v>124.72</v>
      </c>
      <c r="W44" s="131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5">
        <f t="shared" si="1"/>
        <v>-2.1259633271325518E-3</v>
      </c>
    </row>
    <row r="45" spans="1:31" x14ac:dyDescent="0.25">
      <c r="B45" s="154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141.3828</v>
      </c>
      <c r="Q45" s="2"/>
      <c r="T45" s="92" t="s">
        <v>99</v>
      </c>
      <c r="U45" s="128" t="s">
        <v>128</v>
      </c>
      <c r="W45" s="131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5">
        <f t="shared" si="1"/>
        <v>6.2045736571536558E-4</v>
      </c>
    </row>
    <row r="46" spans="1:31" x14ac:dyDescent="0.25">
      <c r="B46" s="154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140.04900000000001</v>
      </c>
      <c r="Q46" s="2"/>
      <c r="T46" s="92" t="s">
        <v>100</v>
      </c>
      <c r="U46" s="128" t="s">
        <v>128</v>
      </c>
      <c r="W46" s="131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5">
        <f t="shared" si="1"/>
        <v>2.9335940972530228E-3</v>
      </c>
    </row>
    <row r="47" spans="1:31" x14ac:dyDescent="0.25">
      <c r="B47" s="154"/>
      <c r="C47" s="10"/>
      <c r="D47" s="40"/>
      <c r="E47" s="40"/>
      <c r="F47" s="40"/>
      <c r="G47" s="40"/>
      <c r="H47" s="228"/>
      <c r="I47" s="233"/>
      <c r="O47" s="82">
        <v>1.04</v>
      </c>
      <c r="P47" s="82">
        <f t="shared" si="2"/>
        <v>138.71520000000001</v>
      </c>
      <c r="Q47" s="2"/>
      <c r="T47" s="92" t="s">
        <v>101</v>
      </c>
      <c r="U47" s="128">
        <v>127.47</v>
      </c>
      <c r="W47" s="131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5">
        <f t="shared" si="1"/>
        <v>-1.7776197671326432E-4</v>
      </c>
    </row>
    <row r="48" spans="1:31" x14ac:dyDescent="0.25">
      <c r="B48" s="154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137.38139999999999</v>
      </c>
      <c r="Q48" s="2"/>
      <c r="T48" s="92" t="s">
        <v>102</v>
      </c>
      <c r="U48" s="128">
        <v>0.67624099999999998</v>
      </c>
      <c r="W48" s="131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5">
        <f t="shared" si="1"/>
        <v>1.0677106504137779E-3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136.04759999999999</v>
      </c>
      <c r="Q49" s="2"/>
      <c r="T49" s="92" t="s">
        <v>103</v>
      </c>
      <c r="U49" s="128" t="s">
        <v>374</v>
      </c>
      <c r="W49" s="131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5">
        <f t="shared" si="1"/>
        <v>-2.1308709935186076E-3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134.71379999999999</v>
      </c>
      <c r="Q50" s="2"/>
      <c r="T50" s="92"/>
      <c r="U50" s="128"/>
      <c r="W50" s="131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5">
        <f t="shared" si="1"/>
        <v>1.3771377137713703E-2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133.38</v>
      </c>
      <c r="Q51" s="2"/>
      <c r="T51" s="92" t="s">
        <v>104</v>
      </c>
      <c r="U51" s="128" t="s">
        <v>647</v>
      </c>
      <c r="W51" s="131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5">
        <f t="shared" si="1"/>
        <v>-8.5668391932893773E-3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132.0462</v>
      </c>
      <c r="Q52" s="2"/>
      <c r="T52" s="92" t="s">
        <v>105</v>
      </c>
      <c r="U52" s="128" t="s">
        <v>648</v>
      </c>
      <c r="W52" s="131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5">
        <f t="shared" si="1"/>
        <v>9.2767720435917855E-3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130.7124</v>
      </c>
      <c r="Q53" s="2"/>
      <c r="T53" s="92" t="s">
        <v>106</v>
      </c>
      <c r="U53" s="129">
        <v>5646251</v>
      </c>
      <c r="W53" s="131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5">
        <f t="shared" si="1"/>
        <v>-1.8822905620360486E-2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129.37860000000001</v>
      </c>
      <c r="T54" s="92" t="s">
        <v>109</v>
      </c>
      <c r="U54" s="129">
        <v>7120690</v>
      </c>
      <c r="W54" s="131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5">
        <f t="shared" si="1"/>
        <v>-2.1164021164021829E-3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128.04479999999998</v>
      </c>
      <c r="T55" s="92" t="s">
        <v>107</v>
      </c>
      <c r="U55" s="128" t="s">
        <v>649</v>
      </c>
      <c r="W55" s="131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5">
        <f t="shared" si="1"/>
        <v>-4.4072278536799736E-4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126.71099999999998</v>
      </c>
      <c r="T56" s="92" t="s">
        <v>110</v>
      </c>
      <c r="U56" s="128">
        <v>21.04</v>
      </c>
      <c r="W56" s="131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5">
        <f t="shared" si="1"/>
        <v>-4.3878894251865308E-3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125.37719999999999</v>
      </c>
      <c r="T57" s="92" t="s">
        <v>111</v>
      </c>
      <c r="U57" s="128">
        <v>5.93</v>
      </c>
      <c r="W57" s="131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5">
        <f t="shared" si="1"/>
        <v>-1.4021558145648205E-3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124.04340000000001</v>
      </c>
      <c r="T58" s="92" t="s">
        <v>108</v>
      </c>
      <c r="U58" s="128" t="s">
        <v>580</v>
      </c>
      <c r="W58" s="131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5">
        <f t="shared" si="1"/>
        <v>2.283706631532656E-3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122.70959999999999</v>
      </c>
      <c r="W59" s="131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5">
        <f t="shared" si="1"/>
        <v>-1.7563888644955838E-4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121.3758</v>
      </c>
      <c r="W60" s="131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5">
        <f t="shared" si="1"/>
        <v>-9.6508159326191834E-4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120.042</v>
      </c>
      <c r="W61" s="131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5">
        <f t="shared" si="1"/>
        <v>-1.2305025996533825E-2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5">
        <f t="shared" si="1"/>
        <v>-1.0387811634348099E-3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5">
        <f t="shared" si="1"/>
        <v>-1.7310022503036482E-4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5">
        <f t="shared" si="1"/>
        <v>-4.7377035059005257E-3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5">
        <f t="shared" si="1"/>
        <v>1.044477326138038E-2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5">
        <f t="shared" si="1"/>
        <v>-1.6510253736531366E-3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W67" s="131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W68" s="131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2" t="s">
        <v>1</v>
      </c>
      <c r="B75" s="652" t="s">
        <v>2</v>
      </c>
      <c r="C75" s="382" t="s">
        <v>4</v>
      </c>
      <c r="D75" s="384" t="s">
        <v>5</v>
      </c>
      <c r="E75" s="384" t="s">
        <v>94</v>
      </c>
      <c r="F75" s="384" t="s">
        <v>60</v>
      </c>
      <c r="G75" s="382" t="s">
        <v>3</v>
      </c>
      <c r="H75" s="382" t="s">
        <v>6</v>
      </c>
      <c r="I75" s="384" t="s">
        <v>7</v>
      </c>
      <c r="J75" s="384" t="s">
        <v>95</v>
      </c>
      <c r="K75" s="384" t="s">
        <v>61</v>
      </c>
      <c r="L75" s="382" t="s">
        <v>37</v>
      </c>
      <c r="M75" s="382" t="s">
        <v>38</v>
      </c>
    </row>
    <row r="76" spans="1:31" x14ac:dyDescent="0.25">
      <c r="A76" s="385" t="s">
        <v>277</v>
      </c>
      <c r="B76" s="647">
        <v>42622</v>
      </c>
      <c r="C76" s="376">
        <v>15</v>
      </c>
      <c r="D76" s="377">
        <v>118.5</v>
      </c>
      <c r="E76" s="377">
        <v>0</v>
      </c>
      <c r="F76" s="377">
        <f>C76*D76+E76</f>
        <v>1777.5</v>
      </c>
      <c r="G76" s="647">
        <v>42760</v>
      </c>
      <c r="H76" s="380">
        <v>15</v>
      </c>
      <c r="I76" s="377">
        <v>112.7</v>
      </c>
      <c r="J76" s="377">
        <v>0.04</v>
      </c>
      <c r="K76" s="377">
        <f>H76*I76-J76</f>
        <v>1690.46</v>
      </c>
      <c r="L76" s="375">
        <v>42710</v>
      </c>
      <c r="M76" s="377">
        <v>16</v>
      </c>
    </row>
    <row r="77" spans="1:31" x14ac:dyDescent="0.25">
      <c r="A77" s="386" t="s">
        <v>71</v>
      </c>
      <c r="B77" s="647">
        <v>42622</v>
      </c>
      <c r="C77" s="376">
        <v>5</v>
      </c>
      <c r="D77" s="377">
        <v>118.5</v>
      </c>
      <c r="E77" s="377">
        <v>0</v>
      </c>
      <c r="F77" s="377">
        <f>C77*D77+E77</f>
        <v>592.5</v>
      </c>
      <c r="G77" s="647">
        <v>42776</v>
      </c>
      <c r="H77" s="380">
        <v>15</v>
      </c>
      <c r="I77" s="377">
        <v>115.18</v>
      </c>
      <c r="J77" s="377">
        <v>0.04</v>
      </c>
      <c r="K77" s="377">
        <f>H77*I77-J77</f>
        <v>1727.66</v>
      </c>
      <c r="L77" s="376"/>
      <c r="M77" s="376"/>
    </row>
    <row r="78" spans="1:31" x14ac:dyDescent="0.25">
      <c r="A78" s="376"/>
      <c r="B78" s="647">
        <v>42704</v>
      </c>
      <c r="C78" s="376">
        <v>10</v>
      </c>
      <c r="D78" s="377">
        <v>111.48</v>
      </c>
      <c r="E78" s="377">
        <v>0</v>
      </c>
      <c r="F78" s="377">
        <f>C78*D78+E78</f>
        <v>1114.8</v>
      </c>
      <c r="G78" s="647">
        <v>42796</v>
      </c>
      <c r="H78" s="380">
        <v>15</v>
      </c>
      <c r="I78" s="377">
        <v>124.08</v>
      </c>
      <c r="J78" s="377">
        <v>0.04</v>
      </c>
      <c r="K78" s="377">
        <f>H78*I78-J78</f>
        <v>1861.16</v>
      </c>
      <c r="L78" s="376"/>
      <c r="M78" s="376"/>
    </row>
    <row r="79" spans="1:31" x14ac:dyDescent="0.25">
      <c r="A79" s="376"/>
      <c r="B79" s="647">
        <v>42759</v>
      </c>
      <c r="C79" s="376">
        <v>15</v>
      </c>
      <c r="D79" s="377">
        <v>111.18</v>
      </c>
      <c r="E79" s="377">
        <v>0</v>
      </c>
      <c r="F79" s="377">
        <f>C79*D79+E79</f>
        <v>1667.7</v>
      </c>
      <c r="G79" s="647"/>
      <c r="H79" s="380"/>
      <c r="I79" s="377"/>
      <c r="J79" s="377"/>
      <c r="K79" s="377"/>
      <c r="L79" s="375">
        <v>42808</v>
      </c>
      <c r="M79" s="376">
        <v>12</v>
      </c>
    </row>
    <row r="80" spans="1:31" x14ac:dyDescent="0.25">
      <c r="A80" s="376"/>
      <c r="B80" s="647"/>
      <c r="C80" s="376"/>
      <c r="D80" s="377"/>
      <c r="E80" s="377"/>
      <c r="F80" s="377"/>
      <c r="G80" s="647"/>
      <c r="H80" s="380"/>
      <c r="I80" s="377"/>
      <c r="J80" s="377"/>
      <c r="K80" s="377"/>
      <c r="L80" s="376"/>
      <c r="M80" s="376"/>
    </row>
    <row r="81" spans="1:13" x14ac:dyDescent="0.25">
      <c r="A81" s="376"/>
      <c r="B81" s="647"/>
      <c r="C81" s="376"/>
      <c r="D81" s="377"/>
      <c r="E81" s="377"/>
      <c r="F81" s="377"/>
      <c r="G81" s="647"/>
      <c r="H81" s="380"/>
      <c r="I81" s="377"/>
      <c r="J81" s="377"/>
      <c r="K81" s="377"/>
      <c r="L81" s="376"/>
      <c r="M81" s="376"/>
    </row>
    <row r="82" spans="1:13" x14ac:dyDescent="0.25">
      <c r="A82" s="376"/>
      <c r="B82" s="647"/>
      <c r="C82" s="376"/>
      <c r="D82" s="377"/>
      <c r="E82" s="377"/>
      <c r="F82" s="377"/>
      <c r="G82" s="647"/>
      <c r="H82" s="380"/>
      <c r="I82" s="377"/>
      <c r="J82" s="377"/>
      <c r="K82" s="377"/>
      <c r="L82" s="376"/>
      <c r="M82" s="376"/>
    </row>
    <row r="83" spans="1:13" x14ac:dyDescent="0.25">
      <c r="A83" s="376"/>
      <c r="B83" s="647"/>
      <c r="C83" s="376"/>
      <c r="D83" s="377"/>
      <c r="E83" s="377"/>
      <c r="F83" s="377"/>
      <c r="G83" s="647"/>
      <c r="H83" s="380"/>
      <c r="I83" s="377"/>
      <c r="J83" s="377"/>
      <c r="K83" s="377"/>
      <c r="L83" s="376"/>
      <c r="M83" s="376"/>
    </row>
    <row r="84" spans="1:13" x14ac:dyDescent="0.25">
      <c r="A84" s="376"/>
      <c r="B84" s="647"/>
      <c r="C84" s="376"/>
      <c r="D84" s="377"/>
      <c r="E84" s="377"/>
      <c r="F84" s="377"/>
      <c r="G84" s="647"/>
      <c r="H84" s="380"/>
      <c r="I84" s="377"/>
      <c r="J84" s="377"/>
      <c r="K84" s="377"/>
      <c r="L84" s="376"/>
      <c r="M84" s="376"/>
    </row>
    <row r="85" spans="1:13" x14ac:dyDescent="0.25">
      <c r="A85" s="376"/>
      <c r="B85" s="647"/>
      <c r="C85" s="376"/>
      <c r="D85" s="377"/>
      <c r="E85" s="377"/>
      <c r="F85" s="377"/>
      <c r="G85" s="647"/>
      <c r="H85" s="380"/>
      <c r="I85" s="377"/>
      <c r="J85" s="377"/>
      <c r="K85" s="377"/>
      <c r="L85" s="376"/>
      <c r="M85" s="376"/>
    </row>
    <row r="86" spans="1:13" x14ac:dyDescent="0.25">
      <c r="A86" s="376"/>
      <c r="B86" s="647"/>
      <c r="C86" s="376"/>
      <c r="D86" s="377"/>
      <c r="E86" s="377"/>
      <c r="F86" s="377"/>
      <c r="G86" s="647"/>
      <c r="H86" s="380"/>
      <c r="I86" s="377"/>
      <c r="J86" s="377"/>
      <c r="K86" s="377"/>
      <c r="L86" s="376"/>
      <c r="M86" s="376"/>
    </row>
    <row r="87" spans="1:13" x14ac:dyDescent="0.25">
      <c r="A87" s="376"/>
      <c r="B87" s="647"/>
      <c r="C87" s="376"/>
      <c r="D87" s="377"/>
      <c r="E87" s="377"/>
      <c r="F87" s="377"/>
      <c r="G87" s="647"/>
      <c r="H87" s="380"/>
      <c r="I87" s="377"/>
      <c r="J87" s="377"/>
      <c r="K87" s="377"/>
      <c r="L87" s="376"/>
      <c r="M87" s="376"/>
    </row>
    <row r="88" spans="1:13" x14ac:dyDescent="0.25">
      <c r="A88" s="376"/>
      <c r="B88" s="647"/>
      <c r="C88" s="376"/>
      <c r="D88" s="377"/>
      <c r="E88" s="377"/>
      <c r="F88" s="377"/>
      <c r="G88" s="647"/>
      <c r="H88" s="380"/>
      <c r="I88" s="377"/>
      <c r="J88" s="377"/>
      <c r="K88" s="377"/>
      <c r="L88" s="376"/>
      <c r="M88" s="376"/>
    </row>
    <row r="89" spans="1:13" x14ac:dyDescent="0.25">
      <c r="A89" s="376"/>
      <c r="B89" s="647"/>
      <c r="C89" s="376"/>
      <c r="D89" s="377"/>
      <c r="E89" s="377"/>
      <c r="F89" s="377"/>
      <c r="G89" s="647"/>
      <c r="H89" s="380"/>
      <c r="I89" s="377"/>
      <c r="J89" s="377"/>
      <c r="K89" s="377"/>
      <c r="L89" s="376"/>
      <c r="M89" s="376"/>
    </row>
    <row r="90" spans="1:13" x14ac:dyDescent="0.25">
      <c r="A90" s="376"/>
      <c r="B90" s="647"/>
      <c r="C90" s="376"/>
      <c r="D90" s="377"/>
      <c r="E90" s="377"/>
      <c r="F90" s="377"/>
      <c r="G90" s="647"/>
      <c r="H90" s="380"/>
      <c r="I90" s="377"/>
      <c r="J90" s="377"/>
      <c r="K90" s="377"/>
      <c r="L90" s="376"/>
      <c r="M90" s="376"/>
    </row>
    <row r="91" spans="1:13" x14ac:dyDescent="0.25">
      <c r="A91" s="376"/>
      <c r="B91" s="647"/>
      <c r="C91" s="376"/>
      <c r="D91" s="377"/>
      <c r="E91" s="377"/>
      <c r="F91" s="377"/>
      <c r="G91" s="647"/>
      <c r="H91" s="376"/>
      <c r="I91" s="377"/>
      <c r="J91" s="377"/>
      <c r="K91" s="377"/>
      <c r="L91" s="376"/>
      <c r="M91" s="376"/>
    </row>
    <row r="92" spans="1:13" x14ac:dyDescent="0.25">
      <c r="A92" s="22" t="s">
        <v>81</v>
      </c>
      <c r="B92" s="653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5" t="s">
        <v>195</v>
      </c>
      <c r="B93" s="654"/>
      <c r="C93" s="467">
        <f>SumByColor($A$19,C76:C91)</f>
        <v>0</v>
      </c>
      <c r="D93" s="467"/>
      <c r="E93" s="467"/>
      <c r="F93" s="468">
        <f>SumByColor($A$19,F76:F91)</f>
        <v>0</v>
      </c>
      <c r="G93" s="467"/>
      <c r="H93" s="467">
        <f>SumByColor($A$19,H76:H91)</f>
        <v>0</v>
      </c>
      <c r="I93" s="467"/>
      <c r="J93" s="467"/>
      <c r="K93" s="468">
        <f>SumByColor($A$19,K76:K91)</f>
        <v>0</v>
      </c>
      <c r="L93" s="467"/>
      <c r="M93" s="468">
        <f>SumByColor($A$19,M76:M91)</f>
        <v>0</v>
      </c>
    </row>
    <row r="102" spans="1:12" x14ac:dyDescent="0.25">
      <c r="A102" s="376"/>
      <c r="B102" s="647"/>
      <c r="C102" s="376"/>
      <c r="D102" s="377"/>
      <c r="E102" s="377"/>
      <c r="F102" s="377"/>
      <c r="G102" s="376"/>
      <c r="H102" s="376"/>
      <c r="I102" s="377"/>
      <c r="J102" s="377"/>
      <c r="K102" s="377"/>
      <c r="L102" s="376"/>
    </row>
    <row r="103" spans="1:12" x14ac:dyDescent="0.25">
      <c r="A103" s="376"/>
      <c r="B103" s="647"/>
      <c r="C103" s="376"/>
      <c r="D103" s="377"/>
      <c r="E103" s="377"/>
      <c r="F103" s="377"/>
      <c r="G103" s="376"/>
      <c r="H103" s="376"/>
      <c r="I103" s="377"/>
      <c r="J103" s="377"/>
      <c r="K103" s="377"/>
      <c r="L103" s="376"/>
    </row>
    <row r="104" spans="1:12" x14ac:dyDescent="0.25">
      <c r="A104" s="376"/>
      <c r="B104" s="645" t="s">
        <v>113</v>
      </c>
      <c r="C104" s="508" t="s">
        <v>146</v>
      </c>
      <c r="D104" s="509" t="s">
        <v>145</v>
      </c>
      <c r="E104" s="510" t="s">
        <v>147</v>
      </c>
      <c r="F104" s="510" t="s">
        <v>65</v>
      </c>
      <c r="G104" s="512" t="s">
        <v>151</v>
      </c>
      <c r="H104" s="512" t="s">
        <v>88</v>
      </c>
      <c r="I104" s="512" t="s">
        <v>154</v>
      </c>
      <c r="J104" s="377"/>
      <c r="K104" s="377"/>
      <c r="L104" s="376"/>
    </row>
    <row r="105" spans="1:12" x14ac:dyDescent="0.25">
      <c r="A105" s="376"/>
      <c r="B105" s="647">
        <v>42622</v>
      </c>
      <c r="C105" s="376">
        <v>20</v>
      </c>
      <c r="D105" s="377">
        <v>118.5</v>
      </c>
      <c r="E105" s="377">
        <v>118.23</v>
      </c>
      <c r="F105" s="377">
        <f t="shared" ref="F105:F117" si="3">C105*(E105-D105)</f>
        <v>-5.3999999999999204</v>
      </c>
      <c r="G105" s="377">
        <f t="shared" ref="G105:G117" si="4">D105*C105</f>
        <v>2370</v>
      </c>
      <c r="H105" s="378">
        <f t="shared" ref="H105:H117" si="5">(E105-D105)/D105</f>
        <v>-2.2784810126581941E-3</v>
      </c>
      <c r="I105" s="377"/>
      <c r="J105" s="377"/>
      <c r="K105" s="377"/>
      <c r="L105" s="376"/>
    </row>
    <row r="106" spans="1:12" x14ac:dyDescent="0.25">
      <c r="A106" s="376"/>
      <c r="B106" s="647">
        <v>42627</v>
      </c>
      <c r="C106" s="376">
        <v>20</v>
      </c>
      <c r="D106" s="377">
        <v>118.5</v>
      </c>
      <c r="E106" s="377">
        <v>117.86</v>
      </c>
      <c r="F106" s="377">
        <f t="shared" si="3"/>
        <v>-12.800000000000011</v>
      </c>
      <c r="G106" s="377">
        <f t="shared" si="4"/>
        <v>2370</v>
      </c>
      <c r="H106" s="378">
        <f t="shared" si="5"/>
        <v>-5.400843881856545E-3</v>
      </c>
      <c r="I106" s="377"/>
      <c r="J106" s="377"/>
      <c r="K106" s="377"/>
      <c r="L106" s="376"/>
    </row>
    <row r="107" spans="1:12" x14ac:dyDescent="0.25">
      <c r="A107" s="376"/>
      <c r="B107" s="647">
        <v>42634</v>
      </c>
      <c r="C107" s="376">
        <v>20</v>
      </c>
      <c r="D107" s="377">
        <v>118.5</v>
      </c>
      <c r="E107" s="377">
        <v>118.91</v>
      </c>
      <c r="F107" s="377">
        <f t="shared" si="3"/>
        <v>8.1999999999999318</v>
      </c>
      <c r="G107" s="377">
        <f t="shared" si="4"/>
        <v>2370</v>
      </c>
      <c r="H107" s="378">
        <f t="shared" si="5"/>
        <v>3.4599156118143171E-3</v>
      </c>
      <c r="I107" s="377"/>
      <c r="J107" s="377"/>
      <c r="K107" s="377"/>
      <c r="L107" s="376"/>
    </row>
    <row r="108" spans="1:12" x14ac:dyDescent="0.25">
      <c r="A108" s="376"/>
      <c r="B108" s="647">
        <v>42651</v>
      </c>
      <c r="C108" s="376">
        <v>20</v>
      </c>
      <c r="D108" s="377">
        <v>118.5</v>
      </c>
      <c r="E108" s="377">
        <v>119.24</v>
      </c>
      <c r="F108" s="377">
        <f t="shared" si="3"/>
        <v>14.799999999999898</v>
      </c>
      <c r="G108" s="377">
        <f t="shared" si="4"/>
        <v>2370</v>
      </c>
      <c r="H108" s="378">
        <f t="shared" si="5"/>
        <v>6.2447257383965813E-3</v>
      </c>
      <c r="I108" s="377"/>
      <c r="J108" s="377"/>
      <c r="K108" s="377"/>
      <c r="L108" s="376"/>
    </row>
    <row r="109" spans="1:12" x14ac:dyDescent="0.25">
      <c r="A109" s="376"/>
      <c r="B109" s="647">
        <v>42664</v>
      </c>
      <c r="C109" s="376">
        <v>20</v>
      </c>
      <c r="D109" s="377">
        <v>118.5</v>
      </c>
      <c r="E109" s="377">
        <v>113.44</v>
      </c>
      <c r="F109" s="377">
        <f t="shared" si="3"/>
        <v>-101.20000000000005</v>
      </c>
      <c r="G109" s="377">
        <f t="shared" si="4"/>
        <v>2370</v>
      </c>
      <c r="H109" s="378">
        <f t="shared" si="5"/>
        <v>-4.2700421940928289E-2</v>
      </c>
      <c r="I109" s="377"/>
      <c r="J109" s="377"/>
      <c r="K109" s="377"/>
      <c r="L109" s="376"/>
    </row>
    <row r="110" spans="1:12" x14ac:dyDescent="0.25">
      <c r="A110" s="376"/>
      <c r="B110" s="647">
        <v>42674</v>
      </c>
      <c r="C110" s="376">
        <v>20</v>
      </c>
      <c r="D110" s="377">
        <v>118.5</v>
      </c>
      <c r="E110" s="377">
        <v>115.99</v>
      </c>
      <c r="F110" s="377">
        <f t="shared" si="3"/>
        <v>-50.200000000000102</v>
      </c>
      <c r="G110" s="377">
        <f t="shared" si="4"/>
        <v>2370</v>
      </c>
      <c r="H110" s="378">
        <f t="shared" si="5"/>
        <v>-2.1181434599156161E-2</v>
      </c>
      <c r="I110" s="377"/>
      <c r="J110" s="377"/>
      <c r="K110" s="377"/>
      <c r="L110" s="376"/>
    </row>
    <row r="111" spans="1:12" x14ac:dyDescent="0.25">
      <c r="A111" s="376"/>
      <c r="B111" s="647">
        <v>42702</v>
      </c>
      <c r="C111" s="376">
        <v>20</v>
      </c>
      <c r="D111" s="377">
        <v>118.5</v>
      </c>
      <c r="E111" s="377">
        <v>114.13</v>
      </c>
      <c r="F111" s="377">
        <f t="shared" si="3"/>
        <v>-87.400000000000091</v>
      </c>
      <c r="G111" s="377">
        <f t="shared" si="4"/>
        <v>2370</v>
      </c>
      <c r="H111" s="378">
        <f t="shared" si="5"/>
        <v>-3.6877637130801728E-2</v>
      </c>
      <c r="I111" s="377"/>
      <c r="J111" s="377"/>
      <c r="K111" s="377"/>
      <c r="L111" s="376"/>
    </row>
    <row r="112" spans="1:12" x14ac:dyDescent="0.25">
      <c r="A112" s="376"/>
      <c r="B112" s="647">
        <v>42704</v>
      </c>
      <c r="C112" s="376">
        <v>30</v>
      </c>
      <c r="D112" s="377">
        <v>116.16</v>
      </c>
      <c r="E112" s="377">
        <v>111.3</v>
      </c>
      <c r="F112" s="377">
        <f t="shared" si="3"/>
        <v>-145.79999999999998</v>
      </c>
      <c r="G112" s="377">
        <f t="shared" si="4"/>
        <v>3484.7999999999997</v>
      </c>
      <c r="H112" s="378">
        <f t="shared" si="5"/>
        <v>-4.1838842975206611E-2</v>
      </c>
      <c r="I112" s="377"/>
      <c r="J112" s="377"/>
      <c r="K112" s="377"/>
      <c r="L112" s="376"/>
    </row>
    <row r="113" spans="1:12" x14ac:dyDescent="0.25">
      <c r="A113" s="376"/>
      <c r="B113" s="647">
        <v>42711</v>
      </c>
      <c r="C113" s="376">
        <v>30</v>
      </c>
      <c r="D113" s="377">
        <v>115.6267</v>
      </c>
      <c r="E113" s="377">
        <v>111.1</v>
      </c>
      <c r="F113" s="377">
        <f t="shared" si="3"/>
        <v>-135.80100000000016</v>
      </c>
      <c r="G113" s="377">
        <f t="shared" si="4"/>
        <v>3468.8009999999999</v>
      </c>
      <c r="H113" s="378">
        <f t="shared" si="5"/>
        <v>-3.9149262237874169E-2</v>
      </c>
      <c r="I113" s="464"/>
      <c r="J113" s="377"/>
      <c r="K113" s="377"/>
      <c r="L113" s="376"/>
    </row>
    <row r="114" spans="1:12" x14ac:dyDescent="0.25">
      <c r="A114" s="376"/>
      <c r="B114" s="647">
        <v>42759</v>
      </c>
      <c r="C114" s="376">
        <v>45</v>
      </c>
      <c r="D114" s="377">
        <v>114.14530000000001</v>
      </c>
      <c r="E114" s="377">
        <v>111.89</v>
      </c>
      <c r="F114" s="377">
        <f t="shared" si="3"/>
        <v>-101.48850000000024</v>
      </c>
      <c r="G114" s="377">
        <f t="shared" si="4"/>
        <v>5136.5385000000006</v>
      </c>
      <c r="H114" s="378">
        <f t="shared" si="5"/>
        <v>-1.9758150357483011E-2</v>
      </c>
      <c r="I114" s="377">
        <v>110</v>
      </c>
      <c r="J114" s="377"/>
      <c r="K114" s="377"/>
      <c r="L114" s="376"/>
    </row>
    <row r="115" spans="1:12" x14ac:dyDescent="0.25">
      <c r="A115" s="376" t="s">
        <v>378</v>
      </c>
      <c r="B115" s="647">
        <v>42760</v>
      </c>
      <c r="C115" s="376">
        <v>30</v>
      </c>
      <c r="D115" s="377">
        <v>114.86799999999999</v>
      </c>
      <c r="E115" s="377">
        <v>112.8</v>
      </c>
      <c r="F115" s="377">
        <f t="shared" si="3"/>
        <v>-62.039999999999935</v>
      </c>
      <c r="G115" s="377">
        <f t="shared" si="4"/>
        <v>3446.04</v>
      </c>
      <c r="H115" s="378">
        <f t="shared" si="5"/>
        <v>-1.8003273322422242E-2</v>
      </c>
      <c r="I115" s="377"/>
      <c r="J115" s="377"/>
      <c r="K115" s="377"/>
      <c r="L115" s="376"/>
    </row>
    <row r="116" spans="1:12" x14ac:dyDescent="0.25">
      <c r="A116" s="376" t="s">
        <v>420</v>
      </c>
      <c r="B116" s="647">
        <v>42761</v>
      </c>
      <c r="C116" s="376">
        <v>30</v>
      </c>
      <c r="D116" s="377">
        <v>114.86799999999999</v>
      </c>
      <c r="E116" s="377">
        <v>113.64</v>
      </c>
      <c r="F116" s="377">
        <f t="shared" si="3"/>
        <v>-36.839999999999833</v>
      </c>
      <c r="G116" s="377">
        <f t="shared" si="4"/>
        <v>3446.04</v>
      </c>
      <c r="H116" s="378">
        <f t="shared" si="5"/>
        <v>-1.0690531740780674E-2</v>
      </c>
      <c r="I116" s="377"/>
      <c r="J116" s="377"/>
      <c r="K116" s="377"/>
      <c r="L116" s="376"/>
    </row>
    <row r="117" spans="1:12" x14ac:dyDescent="0.25">
      <c r="A117" s="376" t="s">
        <v>437</v>
      </c>
      <c r="B117" s="647">
        <v>42776</v>
      </c>
      <c r="C117" s="376">
        <v>15</v>
      </c>
      <c r="D117" s="377">
        <v>114.5587</v>
      </c>
      <c r="E117" s="377">
        <v>115.24</v>
      </c>
      <c r="F117" s="377">
        <f t="shared" si="3"/>
        <v>10.219499999999897</v>
      </c>
      <c r="G117" s="377">
        <f t="shared" si="4"/>
        <v>1718.3805</v>
      </c>
      <c r="H117" s="378">
        <f t="shared" si="5"/>
        <v>5.9471694423906098E-3</v>
      </c>
      <c r="I117" s="377"/>
      <c r="J117" s="377"/>
      <c r="K117" s="377"/>
      <c r="L117" s="376"/>
    </row>
    <row r="118" spans="1:12" x14ac:dyDescent="0.25">
      <c r="A118" s="376"/>
      <c r="B118" s="647">
        <v>42796</v>
      </c>
      <c r="C118" s="376">
        <v>0</v>
      </c>
      <c r="D118" s="377"/>
      <c r="E118" s="377"/>
      <c r="F118" s="377">
        <v>142.78</v>
      </c>
      <c r="G118" s="377"/>
      <c r="H118" s="378"/>
      <c r="I118" s="377"/>
      <c r="J118" s="377"/>
      <c r="K118" s="377"/>
      <c r="L118" s="376"/>
    </row>
    <row r="119" spans="1:12" x14ac:dyDescent="0.25">
      <c r="A119" s="376"/>
      <c r="B119" s="647"/>
      <c r="C119" s="376"/>
      <c r="D119" s="377"/>
      <c r="E119" s="377"/>
      <c r="F119" s="377"/>
      <c r="G119" s="377"/>
      <c r="H119" s="378"/>
      <c r="I119" s="377"/>
      <c r="J119" s="377"/>
      <c r="K119" s="377"/>
      <c r="L119" s="376"/>
    </row>
    <row r="120" spans="1:12" x14ac:dyDescent="0.25">
      <c r="A120" s="376"/>
      <c r="B120" s="647"/>
      <c r="C120" s="376"/>
      <c r="D120" s="377"/>
      <c r="E120" s="377"/>
      <c r="F120" s="377"/>
      <c r="G120" s="377"/>
      <c r="H120" s="378"/>
      <c r="I120" s="377"/>
      <c r="J120" s="377"/>
      <c r="K120" s="377"/>
      <c r="L120" s="376"/>
    </row>
    <row r="121" spans="1:12" x14ac:dyDescent="0.25">
      <c r="A121" s="376"/>
      <c r="B121" s="647"/>
      <c r="C121" s="376"/>
      <c r="D121" s="377"/>
      <c r="E121" s="377"/>
      <c r="F121" s="377"/>
      <c r="G121" s="377"/>
      <c r="H121" s="378"/>
      <c r="I121" s="377"/>
      <c r="J121" s="377"/>
      <c r="K121" s="377"/>
      <c r="L121" s="376"/>
    </row>
    <row r="122" spans="1:12" x14ac:dyDescent="0.25">
      <c r="A122" s="376"/>
      <c r="B122" s="647"/>
      <c r="C122" s="376"/>
      <c r="D122" s="377"/>
      <c r="E122" s="377"/>
      <c r="F122" s="377"/>
      <c r="G122" s="377"/>
      <c r="H122" s="378"/>
      <c r="I122" s="377"/>
      <c r="J122" s="377"/>
      <c r="K122" s="377"/>
      <c r="L122" s="376"/>
    </row>
    <row r="123" spans="1:12" x14ac:dyDescent="0.25">
      <c r="A123" s="376"/>
      <c r="B123" s="647"/>
      <c r="C123" s="376"/>
      <c r="D123" s="377"/>
      <c r="E123" s="377"/>
      <c r="F123" s="377"/>
      <c r="G123" s="377"/>
      <c r="H123" s="378"/>
      <c r="I123" s="377"/>
      <c r="J123" s="377"/>
      <c r="K123" s="377"/>
      <c r="L123" s="376"/>
    </row>
    <row r="124" spans="1:12" x14ac:dyDescent="0.25">
      <c r="A124" s="376"/>
      <c r="B124" s="647"/>
      <c r="C124" s="376"/>
      <c r="D124" s="377"/>
      <c r="E124" s="377"/>
      <c r="F124" s="377"/>
      <c r="G124" s="377"/>
      <c r="H124" s="378"/>
      <c r="I124" s="377"/>
      <c r="J124" s="377"/>
      <c r="K124" s="377"/>
      <c r="L124" s="376"/>
    </row>
    <row r="125" spans="1:12" x14ac:dyDescent="0.25">
      <c r="A125" s="376"/>
      <c r="B125" s="647"/>
      <c r="C125" s="376"/>
      <c r="D125" s="377"/>
      <c r="E125" s="377"/>
      <c r="F125" s="377"/>
      <c r="G125" s="377"/>
      <c r="H125" s="378"/>
      <c r="I125" s="377"/>
      <c r="J125" s="377"/>
      <c r="K125" s="377"/>
      <c r="L125" s="376"/>
    </row>
    <row r="126" spans="1:12" x14ac:dyDescent="0.25">
      <c r="A126" s="376"/>
      <c r="B126" s="647"/>
      <c r="C126" s="376"/>
      <c r="D126" s="377"/>
      <c r="E126" s="377"/>
      <c r="F126" s="377"/>
      <c r="G126" s="377"/>
      <c r="H126" s="378"/>
      <c r="I126" s="377"/>
      <c r="J126" s="377"/>
      <c r="K126" s="377"/>
      <c r="L126" s="376"/>
    </row>
    <row r="127" spans="1:12" x14ac:dyDescent="0.25">
      <c r="A127" s="376"/>
      <c r="B127" s="647"/>
      <c r="C127" s="376"/>
      <c r="D127" s="377"/>
      <c r="E127" s="377"/>
      <c r="F127" s="377"/>
      <c r="G127" s="377"/>
      <c r="H127" s="378"/>
      <c r="I127" s="464"/>
      <c r="J127" s="377"/>
      <c r="K127" s="377"/>
      <c r="L127" s="376"/>
    </row>
    <row r="128" spans="1:12" x14ac:dyDescent="0.25">
      <c r="A128" s="376"/>
      <c r="B128" s="647"/>
      <c r="C128" s="376"/>
      <c r="D128" s="377"/>
      <c r="E128" s="377"/>
      <c r="F128" s="377"/>
      <c r="G128" s="377"/>
      <c r="H128" s="378"/>
      <c r="I128" s="377"/>
      <c r="J128" s="377"/>
      <c r="K128" s="377"/>
      <c r="L128" s="376"/>
    </row>
    <row r="129" spans="1:12" x14ac:dyDescent="0.25">
      <c r="A129" s="376"/>
      <c r="B129" s="647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</row>
    <row r="130" spans="1:12" x14ac:dyDescent="0.25">
      <c r="A130" s="376"/>
      <c r="B130" s="647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</row>
    <row r="131" spans="1:12" x14ac:dyDescent="0.25">
      <c r="A131" s="376"/>
      <c r="B131" s="647"/>
      <c r="C131" s="376"/>
      <c r="D131" s="377"/>
      <c r="E131" s="377"/>
      <c r="F131" s="377"/>
      <c r="G131" s="377"/>
      <c r="H131" s="378"/>
      <c r="I131" s="377"/>
      <c r="J131" s="377"/>
      <c r="K131" s="377"/>
      <c r="L131" s="376"/>
    </row>
    <row r="132" spans="1:12" x14ac:dyDescent="0.25">
      <c r="A132" s="376"/>
      <c r="B132" s="647"/>
      <c r="C132" s="376"/>
      <c r="D132" s="377"/>
      <c r="E132" s="377"/>
      <c r="F132" s="377"/>
      <c r="G132" s="377"/>
      <c r="H132" s="378"/>
      <c r="I132" s="377"/>
      <c r="J132" s="377"/>
      <c r="K132" s="377"/>
      <c r="L132" s="376"/>
    </row>
    <row r="133" spans="1:12" x14ac:dyDescent="0.25">
      <c r="A133" s="376"/>
      <c r="B133" s="647"/>
      <c r="C133" s="376"/>
      <c r="D133" s="377"/>
      <c r="E133" s="377"/>
      <c r="F133" s="377"/>
      <c r="G133" s="377"/>
      <c r="H133" s="378"/>
      <c r="I133" s="377"/>
      <c r="J133" s="377"/>
      <c r="K133" s="377"/>
      <c r="L133" s="376"/>
    </row>
    <row r="134" spans="1:12" x14ac:dyDescent="0.25">
      <c r="A134" s="376"/>
      <c r="B134" s="647"/>
      <c r="C134" s="376"/>
      <c r="D134" s="377"/>
      <c r="E134" s="377"/>
      <c r="F134" s="377"/>
      <c r="G134" s="377"/>
      <c r="H134" s="378"/>
      <c r="I134" s="377"/>
      <c r="J134" s="377"/>
      <c r="K134" s="377"/>
      <c r="L134" s="376"/>
    </row>
    <row r="135" spans="1:12" x14ac:dyDescent="0.25">
      <c r="A135" s="376"/>
      <c r="B135" s="647"/>
      <c r="C135" s="376"/>
      <c r="D135" s="377"/>
      <c r="E135" s="377"/>
      <c r="F135" s="377"/>
      <c r="G135" s="377"/>
      <c r="H135" s="378"/>
      <c r="I135" s="377"/>
      <c r="J135" s="377"/>
      <c r="K135" s="377"/>
      <c r="L135" s="376"/>
    </row>
    <row r="136" spans="1:12" x14ac:dyDescent="0.25">
      <c r="A136" s="376"/>
      <c r="B136" s="647"/>
      <c r="C136" s="376"/>
      <c r="D136" s="377"/>
      <c r="E136" s="377"/>
      <c r="F136" s="377"/>
      <c r="G136" s="377"/>
      <c r="H136" s="378"/>
      <c r="I136" s="377"/>
      <c r="J136" s="377"/>
      <c r="K136" s="377"/>
      <c r="L136" s="376"/>
    </row>
    <row r="137" spans="1:12" x14ac:dyDescent="0.25">
      <c r="A137" s="376"/>
      <c r="B137" s="647"/>
      <c r="C137" s="376"/>
      <c r="D137" s="377"/>
      <c r="E137" s="377"/>
      <c r="F137" s="377"/>
      <c r="G137" s="377"/>
      <c r="H137" s="378"/>
      <c r="I137" s="377"/>
      <c r="J137" s="377"/>
      <c r="K137" s="377"/>
      <c r="L137" s="376"/>
    </row>
    <row r="138" spans="1:12" x14ac:dyDescent="0.25">
      <c r="A138" s="376"/>
      <c r="B138" s="647"/>
      <c r="C138" s="376"/>
      <c r="D138" s="377"/>
      <c r="E138" s="377"/>
      <c r="F138" s="377"/>
      <c r="G138" s="377"/>
      <c r="H138" s="378"/>
      <c r="I138" s="377"/>
      <c r="J138" s="377"/>
      <c r="K138" s="377"/>
      <c r="L138" s="376"/>
    </row>
    <row r="139" spans="1:12" x14ac:dyDescent="0.25">
      <c r="A139" s="376"/>
      <c r="B139" s="647"/>
      <c r="C139" s="376"/>
      <c r="D139" s="377"/>
      <c r="E139" s="377"/>
      <c r="F139" s="377"/>
      <c r="G139" s="377"/>
      <c r="H139" s="378"/>
      <c r="I139" s="377"/>
      <c r="J139" s="377"/>
      <c r="K139" s="377"/>
      <c r="L139" s="376"/>
    </row>
    <row r="140" spans="1:12" x14ac:dyDescent="0.25">
      <c r="A140" s="376"/>
      <c r="B140" s="647"/>
      <c r="C140" s="376"/>
      <c r="D140" s="377"/>
      <c r="E140" s="377"/>
      <c r="F140" s="377"/>
      <c r="G140" s="377"/>
      <c r="H140" s="378"/>
      <c r="I140" s="377"/>
      <c r="J140" s="377"/>
      <c r="K140" s="377"/>
      <c r="L140" s="376"/>
    </row>
    <row r="141" spans="1:12" x14ac:dyDescent="0.25">
      <c r="A141" s="376"/>
      <c r="B141" s="647"/>
      <c r="C141" s="376"/>
      <c r="D141" s="377"/>
      <c r="E141" s="377"/>
      <c r="F141" s="377"/>
      <c r="G141" s="377"/>
      <c r="H141" s="378"/>
      <c r="I141" s="377"/>
      <c r="J141" s="377"/>
      <c r="K141" s="377"/>
      <c r="L141" s="376"/>
    </row>
    <row r="142" spans="1:12" x14ac:dyDescent="0.25">
      <c r="A142" s="376"/>
      <c r="B142" s="647"/>
      <c r="C142" s="376"/>
      <c r="D142" s="377"/>
      <c r="E142" s="377"/>
      <c r="F142" s="377"/>
      <c r="G142" s="377"/>
      <c r="H142" s="378"/>
      <c r="I142" s="377"/>
      <c r="J142" s="377"/>
      <c r="K142" s="377"/>
      <c r="L142" s="376"/>
    </row>
    <row r="143" spans="1:12" x14ac:dyDescent="0.25">
      <c r="A143" s="376"/>
      <c r="B143" s="647"/>
      <c r="C143" s="376"/>
      <c r="D143" s="377"/>
      <c r="E143" s="377"/>
      <c r="F143" s="377"/>
      <c r="G143" s="377"/>
      <c r="H143" s="378"/>
      <c r="I143" s="377"/>
      <c r="J143" s="377"/>
      <c r="K143" s="377"/>
      <c r="L143" s="376"/>
    </row>
    <row r="144" spans="1:12" x14ac:dyDescent="0.25">
      <c r="A144" s="376"/>
      <c r="B144" s="647"/>
      <c r="C144" s="376"/>
      <c r="D144" s="377"/>
      <c r="E144" s="377"/>
      <c r="F144" s="377"/>
      <c r="G144" s="377"/>
      <c r="H144" s="378"/>
      <c r="I144" s="377"/>
      <c r="J144" s="377"/>
      <c r="K144" s="377"/>
      <c r="L144" s="376"/>
    </row>
    <row r="145" spans="1:12" x14ac:dyDescent="0.25">
      <c r="A145" s="376"/>
      <c r="B145" s="647"/>
      <c r="C145" s="376"/>
      <c r="D145" s="377"/>
      <c r="E145" s="377"/>
      <c r="F145" s="377"/>
      <c r="G145" s="377"/>
      <c r="H145" s="378"/>
      <c r="I145" s="377"/>
      <c r="J145" s="377"/>
      <c r="K145" s="377"/>
      <c r="L145" s="376"/>
    </row>
    <row r="146" spans="1:12" x14ac:dyDescent="0.25">
      <c r="A146" s="376"/>
      <c r="B146" s="647"/>
      <c r="C146" s="376"/>
      <c r="D146" s="377"/>
      <c r="E146" s="377"/>
      <c r="F146" s="377"/>
      <c r="G146" s="377"/>
      <c r="H146" s="378"/>
      <c r="I146" s="377"/>
      <c r="J146" s="377"/>
      <c r="K146" s="377"/>
      <c r="L146" s="376"/>
    </row>
    <row r="147" spans="1:12" x14ac:dyDescent="0.25">
      <c r="A147" s="376"/>
      <c r="B147" s="647"/>
      <c r="C147" s="376"/>
      <c r="D147" s="377"/>
      <c r="E147" s="377"/>
      <c r="F147" s="377"/>
      <c r="G147" s="377"/>
      <c r="H147" s="378"/>
      <c r="I147" s="377"/>
      <c r="J147" s="377"/>
      <c r="K147" s="377"/>
      <c r="L147" s="376"/>
    </row>
    <row r="148" spans="1:12" x14ac:dyDescent="0.25">
      <c r="A148" s="376"/>
      <c r="B148" s="647"/>
      <c r="C148" s="376"/>
      <c r="D148" s="377"/>
      <c r="E148" s="377"/>
      <c r="F148" s="377"/>
      <c r="G148" s="377"/>
      <c r="H148" s="378"/>
      <c r="I148" s="377"/>
      <c r="J148" s="377"/>
      <c r="K148" s="377"/>
      <c r="L148" s="376"/>
    </row>
    <row r="149" spans="1:12" x14ac:dyDescent="0.25">
      <c r="A149" s="376"/>
      <c r="B149" s="647"/>
      <c r="C149" s="376"/>
      <c r="D149" s="377"/>
      <c r="E149" s="377"/>
      <c r="F149" s="377"/>
      <c r="G149" s="377"/>
      <c r="H149" s="378"/>
      <c r="I149" s="377"/>
      <c r="J149" s="377"/>
      <c r="K149" s="377"/>
      <c r="L149" s="376"/>
    </row>
    <row r="150" spans="1:12" x14ac:dyDescent="0.25">
      <c r="A150" s="376"/>
      <c r="B150" s="647"/>
      <c r="C150" s="376"/>
      <c r="D150" s="377"/>
      <c r="E150" s="377"/>
      <c r="F150" s="377"/>
      <c r="G150" s="376"/>
      <c r="H150" s="376"/>
      <c r="I150" s="377"/>
      <c r="J150" s="377"/>
      <c r="K150" s="377"/>
      <c r="L150" s="376"/>
    </row>
    <row r="151" spans="1:12" x14ac:dyDescent="0.25">
      <c r="A151" s="376"/>
      <c r="B151" s="647"/>
      <c r="C151" s="376"/>
      <c r="D151" s="377"/>
      <c r="E151" s="377"/>
      <c r="F151" s="377"/>
      <c r="G151" s="376"/>
      <c r="H151" s="376"/>
      <c r="I151" s="377"/>
      <c r="J151" s="377"/>
      <c r="K151" s="377"/>
      <c r="L151" s="37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926" priority="19">
      <formula>F25&gt;0</formula>
    </cfRule>
    <cfRule type="expression" dxfId="925" priority="20">
      <formula>F25&lt;0</formula>
    </cfRule>
  </conditionalFormatting>
  <conditionalFormatting sqref="Q7">
    <cfRule type="expression" dxfId="924" priority="17">
      <formula>Q7&gt;0</formula>
    </cfRule>
    <cfRule type="expression" dxfId="923" priority="18">
      <formula>Q7&lt;0</formula>
    </cfRule>
  </conditionalFormatting>
  <conditionalFormatting sqref="Q8">
    <cfRule type="expression" dxfId="922" priority="15">
      <formula>Q8&gt;0</formula>
    </cfRule>
    <cfRule type="expression" dxfId="921" priority="16">
      <formula>Q8&lt;0</formula>
    </cfRule>
  </conditionalFormatting>
  <conditionalFormatting sqref="M74">
    <cfRule type="expression" dxfId="920" priority="9">
      <formula>M74&gt;0</formula>
    </cfRule>
    <cfRule type="expression" dxfId="919" priority="10">
      <formula>M74&lt;0</formula>
    </cfRule>
  </conditionalFormatting>
  <conditionalFormatting sqref="F113:F149 H113:H149">
    <cfRule type="expression" dxfId="918" priority="7">
      <formula>F113&gt;0</formula>
    </cfRule>
    <cfRule type="expression" dxfId="917" priority="8">
      <formula>F113&lt;0</formula>
    </cfRule>
  </conditionalFormatting>
  <conditionalFormatting sqref="F105:F112">
    <cfRule type="expression" dxfId="916" priority="5">
      <formula>F105&gt;0</formula>
    </cfRule>
    <cfRule type="expression" dxfId="915" priority="6">
      <formula>F105&lt;0</formula>
    </cfRule>
  </conditionalFormatting>
  <conditionalFormatting sqref="H105:H112">
    <cfRule type="expression" dxfId="914" priority="3">
      <formula>H105&gt;0</formula>
    </cfRule>
    <cfRule type="expression" dxfId="913" priority="4">
      <formula>H105&lt;0</formula>
    </cfRule>
  </conditionalFormatting>
  <conditionalFormatting sqref="Q10">
    <cfRule type="expression" dxfId="912" priority="1">
      <formula>Q10&gt;0</formula>
    </cfRule>
    <cfRule type="expression" dxfId="91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3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2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125</v>
      </c>
      <c r="T2" s="1"/>
    </row>
    <row r="3" spans="1:21" x14ac:dyDescent="0.25">
      <c r="A3" s="23" t="s">
        <v>71</v>
      </c>
      <c r="B3" s="73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105.3728</v>
      </c>
      <c r="T3" s="1"/>
    </row>
    <row r="4" spans="1:2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2"/>
      <c r="I4" s="3"/>
      <c r="J4" s="3"/>
      <c r="K4" s="3"/>
      <c r="L4" s="4"/>
      <c r="M4" s="4"/>
      <c r="O4" s="11" t="s">
        <v>66</v>
      </c>
      <c r="Q4" s="55">
        <v>87.08</v>
      </c>
      <c r="R4" s="519">
        <v>-0.2034</v>
      </c>
      <c r="T4" s="160"/>
      <c r="U4" s="1"/>
    </row>
    <row r="5" spans="1:21" x14ac:dyDescent="0.25">
      <c r="B5" s="496">
        <v>42962</v>
      </c>
      <c r="C5" s="4">
        <v>50</v>
      </c>
      <c r="D5" s="3">
        <v>90</v>
      </c>
      <c r="E5" s="3">
        <v>0</v>
      </c>
      <c r="F5" s="3">
        <f>C5*D5+E5</f>
        <v>4500</v>
      </c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10885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13171.6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-2286.6000000000004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-2286.6000000000004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-0.1736007774302287</v>
      </c>
    </row>
    <row r="10" spans="1:21" x14ac:dyDescent="0.25">
      <c r="H10" s="71"/>
      <c r="O10" s="11" t="s">
        <v>210</v>
      </c>
      <c r="P10" s="34"/>
      <c r="Q10" s="2">
        <f>M66</f>
        <v>0</v>
      </c>
    </row>
    <row r="11" spans="1:21" x14ac:dyDescent="0.25">
      <c r="H11" s="71"/>
      <c r="O11" s="11" t="s">
        <v>176</v>
      </c>
      <c r="P11" s="34"/>
      <c r="Q11" s="135">
        <v>2.8E-3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</row>
    <row r="25" spans="1:13" x14ac:dyDescent="0.25">
      <c r="B25" s="190">
        <v>42892</v>
      </c>
      <c r="C25" s="10">
        <v>25</v>
      </c>
      <c r="D25" s="40">
        <v>132.88</v>
      </c>
      <c r="E25" s="40">
        <v>131.30000000000001</v>
      </c>
      <c r="F25" s="40">
        <f t="shared" ref="F25" si="0">C25*(E25-D25)</f>
        <v>-39.499999999999602</v>
      </c>
      <c r="G25" s="40">
        <f t="shared" ref="G25" si="1">D25*C25</f>
        <v>3322</v>
      </c>
      <c r="H25" s="228">
        <f t="shared" ref="H25" si="2">(E25-D25)/D25</f>
        <v>-1.1890427453341242E-2</v>
      </c>
      <c r="I25" s="40"/>
      <c r="J25" s="40"/>
      <c r="K25" s="40"/>
      <c r="L25" s="40"/>
    </row>
    <row r="26" spans="1:13" x14ac:dyDescent="0.25">
      <c r="B26" s="190">
        <v>42926</v>
      </c>
      <c r="C26" s="10">
        <v>50</v>
      </c>
      <c r="D26" s="40">
        <v>115.62130000000001</v>
      </c>
      <c r="E26" s="40">
        <v>100.92</v>
      </c>
      <c r="F26" s="40">
        <f t="shared" ref="F26" si="3">C26*(E26-D26)</f>
        <v>-735.06500000000017</v>
      </c>
      <c r="G26" s="40">
        <f t="shared" ref="G26" si="4">D26*C26</f>
        <v>5781.0650000000005</v>
      </c>
      <c r="H26" s="228">
        <f>(E26-D26)/D26</f>
        <v>-0.12715044719268856</v>
      </c>
      <c r="I26" s="40"/>
      <c r="J26" s="40"/>
      <c r="K26" s="40"/>
      <c r="L26" s="40"/>
    </row>
    <row r="27" spans="1:13" x14ac:dyDescent="0.25">
      <c r="B27" s="190">
        <v>42947</v>
      </c>
      <c r="C27" s="10">
        <v>75</v>
      </c>
      <c r="D27" s="40">
        <v>115.62130000000001</v>
      </c>
      <c r="E27" s="40">
        <v>112.01</v>
      </c>
      <c r="F27" s="40">
        <f t="shared" ref="F27" si="5">C27*(E27-D27)</f>
        <v>-270.84749999999997</v>
      </c>
      <c r="G27" s="40">
        <f t="shared" ref="G27" si="6">D27*C27</f>
        <v>8671.5974999999999</v>
      </c>
      <c r="H27" s="228">
        <f t="shared" ref="H27" si="7">(E27-D27)/D27</f>
        <v>-3.1233864348524015E-2</v>
      </c>
      <c r="I27" s="40"/>
      <c r="J27" s="40"/>
      <c r="K27" s="40"/>
      <c r="L27" s="159"/>
    </row>
    <row r="28" spans="1:13" x14ac:dyDescent="0.25">
      <c r="B28" s="190">
        <v>42962</v>
      </c>
      <c r="C28" s="10">
        <v>125</v>
      </c>
      <c r="D28" s="40">
        <v>105.3728</v>
      </c>
      <c r="E28" s="40">
        <v>87.08</v>
      </c>
      <c r="F28" s="40">
        <f t="shared" ref="F28" si="8">C28*(E28-D28)</f>
        <v>-2286.6</v>
      </c>
      <c r="G28" s="40">
        <f t="shared" ref="G28" si="9">D28*C28</f>
        <v>13171.6</v>
      </c>
      <c r="H28" s="228">
        <f t="shared" ref="H28" si="10">(E28-D28)/D28</f>
        <v>-0.17360077743022867</v>
      </c>
      <c r="I28" s="40"/>
      <c r="J28" s="40"/>
      <c r="K28" s="40"/>
      <c r="L28" s="159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</row>
    <row r="33" spans="1:17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</row>
    <row r="34" spans="1:17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</row>
    <row r="35" spans="1:17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</row>
    <row r="36" spans="1:17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</row>
    <row r="37" spans="1:17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</row>
    <row r="38" spans="1:17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</row>
    <row r="39" spans="1:17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</row>
    <row r="40" spans="1:17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</row>
    <row r="41" spans="1:17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95.788000000000011</v>
      </c>
      <c r="Q41" s="2"/>
    </row>
    <row r="42" spans="1:17" x14ac:dyDescent="0.2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11">O42*$Q$4</f>
        <v>94.917200000000008</v>
      </c>
      <c r="Q42" s="2"/>
    </row>
    <row r="43" spans="1:17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11"/>
        <v>94.046400000000006</v>
      </c>
      <c r="Q43" s="2"/>
    </row>
    <row r="44" spans="1:17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11"/>
        <v>93.175600000000003</v>
      </c>
      <c r="Q44" s="2"/>
    </row>
    <row r="45" spans="1:17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11"/>
        <v>92.3048</v>
      </c>
      <c r="Q45" s="2"/>
    </row>
    <row r="46" spans="1:17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11"/>
        <v>91.433999999999997</v>
      </c>
      <c r="Q46" s="2"/>
    </row>
    <row r="47" spans="1:17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11"/>
        <v>90.563199999999995</v>
      </c>
      <c r="Q47" s="2"/>
    </row>
    <row r="48" spans="1:17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11"/>
        <v>89.692400000000006</v>
      </c>
      <c r="Q48" s="2"/>
    </row>
    <row r="49" spans="1:17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11"/>
        <v>88.821600000000004</v>
      </c>
      <c r="Q49" s="2"/>
    </row>
    <row r="50" spans="1:17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11"/>
        <v>87.950800000000001</v>
      </c>
      <c r="Q50" s="2"/>
    </row>
    <row r="51" spans="1:17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11"/>
        <v>87.08</v>
      </c>
      <c r="Q51" s="2"/>
    </row>
    <row r="52" spans="1:17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11"/>
        <v>86.209199999999996</v>
      </c>
      <c r="Q52" s="2"/>
    </row>
    <row r="53" spans="1:17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11"/>
        <v>85.338399999999993</v>
      </c>
      <c r="Q53" s="2"/>
    </row>
    <row r="54" spans="1:17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11"/>
        <v>84.46759999999999</v>
      </c>
    </row>
    <row r="55" spans="1:17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11"/>
        <v>83.596800000000002</v>
      </c>
    </row>
    <row r="56" spans="1:17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11"/>
        <v>82.725999999999999</v>
      </c>
    </row>
    <row r="57" spans="1:17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11"/>
        <v>81.855199999999996</v>
      </c>
    </row>
    <row r="58" spans="1:17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11"/>
        <v>80.984400000000008</v>
      </c>
    </row>
    <row r="59" spans="1:17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11"/>
        <v>80.113600000000005</v>
      </c>
    </row>
    <row r="60" spans="1:17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11"/>
        <v>79.242800000000003</v>
      </c>
    </row>
    <row r="61" spans="1:17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11"/>
        <v>78.372</v>
      </c>
    </row>
    <row r="62" spans="1:17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</row>
    <row r="63" spans="1:17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</row>
    <row r="68" spans="1:13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</row>
    <row r="69" spans="1:13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</row>
    <row r="70" spans="1:13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13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13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13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13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13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13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13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13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13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13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10" priority="21">
      <formula>F47&gt;0</formula>
    </cfRule>
    <cfRule type="expression" dxfId="909" priority="22">
      <formula>F47&lt;0</formula>
    </cfRule>
  </conditionalFormatting>
  <conditionalFormatting sqref="Q7">
    <cfRule type="expression" dxfId="908" priority="19">
      <formula>Q7&gt;0</formula>
    </cfRule>
    <cfRule type="expression" dxfId="907" priority="20">
      <formula>Q7&lt;0</formula>
    </cfRule>
  </conditionalFormatting>
  <conditionalFormatting sqref="Q8">
    <cfRule type="expression" dxfId="906" priority="17">
      <formula>Q8&gt;0</formula>
    </cfRule>
    <cfRule type="expression" dxfId="905" priority="18">
      <formula>Q8&lt;0</formula>
    </cfRule>
  </conditionalFormatting>
  <conditionalFormatting sqref="F25:F46">
    <cfRule type="expression" dxfId="904" priority="15">
      <formula>F25&gt;0</formula>
    </cfRule>
    <cfRule type="expression" dxfId="903" priority="16">
      <formula>F25&lt;0</formula>
    </cfRule>
  </conditionalFormatting>
  <conditionalFormatting sqref="H25:H46">
    <cfRule type="expression" dxfId="902" priority="13">
      <formula>H25&gt;0</formula>
    </cfRule>
    <cfRule type="expression" dxfId="901" priority="14">
      <formula>H25&lt;0</formula>
    </cfRule>
  </conditionalFormatting>
  <conditionalFormatting sqref="F89:F110">
    <cfRule type="expression" dxfId="900" priority="11">
      <formula>F89&gt;0</formula>
    </cfRule>
    <cfRule type="expression" dxfId="899" priority="12">
      <formula>F89&lt;0</formula>
    </cfRule>
  </conditionalFormatting>
  <conditionalFormatting sqref="H89:H110">
    <cfRule type="expression" dxfId="898" priority="9">
      <formula>H89&gt;0</formula>
    </cfRule>
    <cfRule type="expression" dxfId="897" priority="10">
      <formula>H89&lt;0</formula>
    </cfRule>
  </conditionalFormatting>
  <conditionalFormatting sqref="Q10">
    <cfRule type="expression" dxfId="896" priority="7">
      <formula>Q10&gt;0</formula>
    </cfRule>
    <cfRule type="expression" dxfId="895" priority="8">
      <formula>Q10&lt;0</formula>
    </cfRule>
  </conditionalFormatting>
  <conditionalFormatting sqref="J25:J38">
    <cfRule type="expression" dxfId="894" priority="5">
      <formula>J25&gt;0</formula>
    </cfRule>
    <cfRule type="expression" dxfId="893" priority="6">
      <formula>J25&lt;0</formula>
    </cfRule>
  </conditionalFormatting>
  <conditionalFormatting sqref="K25:K38">
    <cfRule type="expression" dxfId="892" priority="3">
      <formula>K25&gt;0</formula>
    </cfRule>
    <cfRule type="expression" dxfId="891" priority="4">
      <formula>K25&lt;0</formula>
    </cfRule>
  </conditionalFormatting>
  <conditionalFormatting sqref="L25:L38">
    <cfRule type="expression" dxfId="890" priority="1">
      <formula>L25&gt;0</formula>
    </cfRule>
    <cfRule type="expression" dxfId="88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753</v>
      </c>
      <c r="B2" s="73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2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150.92500000000001</v>
      </c>
      <c r="T3" s="1"/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156.88</v>
      </c>
      <c r="R4" s="519">
        <v>-6.4999999999999997E-3</v>
      </c>
      <c r="T4" s="160"/>
      <c r="U4" s="1"/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3137.6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119.09999999999991</v>
      </c>
      <c r="R7">
        <v>20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119.09999999999991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3.9456683783336062E-2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H10" s="71"/>
      <c r="O10" s="11" t="s">
        <v>210</v>
      </c>
      <c r="P10" s="34"/>
      <c r="Q10" s="2">
        <f>M66</f>
        <v>0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H11" s="71"/>
      <c r="O11" s="11" t="s">
        <v>176</v>
      </c>
      <c r="P11" s="34"/>
      <c r="Q11" s="135">
        <f>0.5/Q4</f>
        <v>3.187149413564508E-3</v>
      </c>
      <c r="S11">
        <v>0.5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H12" s="71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H13" s="71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H14" s="71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H15" s="71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K24" s="226" t="s">
        <v>740</v>
      </c>
      <c r="L24" s="226" t="s">
        <v>746</v>
      </c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B25" s="190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8">
        <f t="shared" ref="H25" si="2">(E25-D25)/D25</f>
        <v>1.1258278145694536E-3</v>
      </c>
      <c r="I25" s="40"/>
      <c r="J25" s="40"/>
      <c r="K25" s="40"/>
      <c r="L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B26" s="190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8">
        <f t="shared" ref="H26" si="5">(E26-D26)/D26</f>
        <v>5.0256750041411155E-2</v>
      </c>
      <c r="I26" s="40"/>
      <c r="J26" s="40"/>
      <c r="K26" s="40"/>
      <c r="L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J27" s="40"/>
      <c r="K27" s="40"/>
      <c r="L27" s="159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J28" s="40"/>
      <c r="K28" s="40"/>
      <c r="L28" s="159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J29" s="40"/>
      <c r="K29" s="40"/>
      <c r="L29" s="159"/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J30" s="40"/>
      <c r="K30" s="40"/>
      <c r="L30" s="159"/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B31" s="190"/>
      <c r="C31" s="10"/>
      <c r="D31" s="40"/>
      <c r="E31" s="40"/>
      <c r="F31" s="40"/>
      <c r="G31" s="40"/>
      <c r="H31" s="228"/>
      <c r="I31" s="40"/>
      <c r="J31" s="40"/>
      <c r="K31" s="40"/>
      <c r="L31" s="159"/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J32" s="40"/>
      <c r="K32" s="40"/>
      <c r="L32" s="159"/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 s="30"/>
      <c r="B33" s="190"/>
      <c r="C33" s="10"/>
      <c r="D33" s="40"/>
      <c r="E33" s="40"/>
      <c r="F33" s="40"/>
      <c r="G33" s="40"/>
      <c r="H33" s="228"/>
      <c r="I33" s="40"/>
      <c r="J33" s="40"/>
      <c r="K33" s="40"/>
      <c r="L33" s="159"/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J34" s="40"/>
      <c r="K34" s="40"/>
      <c r="L34" s="159"/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J35" s="40"/>
      <c r="K35" s="40"/>
      <c r="L35" s="159"/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J36" s="40"/>
      <c r="K36" s="40"/>
      <c r="L36" s="40"/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J37" s="40"/>
      <c r="K37" s="40"/>
      <c r="L37" s="40"/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J38" s="40"/>
      <c r="K38" s="40"/>
      <c r="L38" s="40"/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B39" s="190"/>
      <c r="C39" s="10"/>
      <c r="D39" s="40"/>
      <c r="E39" s="40"/>
      <c r="F39" s="40"/>
      <c r="G39" s="40"/>
      <c r="H39" s="228"/>
      <c r="I39" s="40"/>
      <c r="J39" s="40"/>
      <c r="K39" s="40"/>
      <c r="L39" s="40"/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ht="20.25" thickBot="1" x14ac:dyDescent="0.35">
      <c r="B40" s="190"/>
      <c r="C40" s="10"/>
      <c r="D40" s="40"/>
      <c r="E40" s="40"/>
      <c r="F40" s="40"/>
      <c r="G40" s="40"/>
      <c r="H40" s="228"/>
      <c r="I40" s="40"/>
      <c r="J40" s="40"/>
      <c r="K40" s="40"/>
      <c r="L40" s="40"/>
      <c r="O40" s="716" t="s">
        <v>78</v>
      </c>
      <c r="P40" s="716"/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ht="15.75" thickTop="1" x14ac:dyDescent="0.25">
      <c r="B41" s="190"/>
      <c r="C41" s="10"/>
      <c r="D41" s="40"/>
      <c r="E41" s="40"/>
      <c r="F41" s="40"/>
      <c r="G41" s="40"/>
      <c r="H41" s="228"/>
      <c r="I41" s="40"/>
      <c r="J41" s="40"/>
      <c r="K41" s="40"/>
      <c r="L41" s="40"/>
      <c r="O41" s="82">
        <v>1.1000000000000001</v>
      </c>
      <c r="P41" s="82">
        <f>O41*$Q$4</f>
        <v>172.56800000000001</v>
      </c>
      <c r="Q41" s="2"/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ht="20.25" thickBot="1" x14ac:dyDescent="0.35">
      <c r="B42" s="190"/>
      <c r="C42" s="10"/>
      <c r="D42" s="40"/>
      <c r="E42" s="40"/>
      <c r="F42" s="40"/>
      <c r="G42" s="40"/>
      <c r="H42" s="228"/>
      <c r="I42" s="40"/>
      <c r="J42" s="40"/>
      <c r="K42" s="40"/>
      <c r="L42" s="40"/>
      <c r="O42" s="82">
        <v>1.0900000000000001</v>
      </c>
      <c r="P42" s="82">
        <f t="shared" ref="P42:P61" si="6">O42*$Q$4</f>
        <v>170.9992</v>
      </c>
      <c r="Q42" s="2"/>
      <c r="T42" s="90"/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ht="15.75" thickTop="1" x14ac:dyDescent="0.25">
      <c r="B43" s="190"/>
      <c r="C43" s="10"/>
      <c r="D43" s="40"/>
      <c r="E43" s="40"/>
      <c r="F43" s="40"/>
      <c r="G43" s="40"/>
      <c r="H43" s="228"/>
      <c r="I43" s="40"/>
      <c r="J43" s="40"/>
      <c r="K43" s="40"/>
      <c r="L43" s="40"/>
      <c r="O43" s="82">
        <v>1.08</v>
      </c>
      <c r="P43" s="82">
        <f t="shared" si="6"/>
        <v>169.43040000000002</v>
      </c>
      <c r="Q43" s="2"/>
      <c r="T43" s="126"/>
      <c r="U43" s="127"/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L44" s="40"/>
      <c r="O44" s="82">
        <v>1.07</v>
      </c>
      <c r="P44" s="82">
        <f t="shared" si="6"/>
        <v>167.86160000000001</v>
      </c>
      <c r="Q44" s="2"/>
      <c r="T44" s="92"/>
      <c r="U44" s="128"/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L45" s="40"/>
      <c r="O45" s="82">
        <v>1.06</v>
      </c>
      <c r="P45" s="82">
        <f t="shared" si="6"/>
        <v>166.2928</v>
      </c>
      <c r="Q45" s="2"/>
      <c r="T45" s="92"/>
      <c r="U45" s="128"/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L46" s="40"/>
      <c r="O46" s="82">
        <v>1.05</v>
      </c>
      <c r="P46" s="82">
        <f t="shared" si="6"/>
        <v>164.72399999999999</v>
      </c>
      <c r="Q46" s="2"/>
      <c r="T46" s="92"/>
      <c r="U46" s="128"/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B47" s="73"/>
      <c r="C47" s="4"/>
      <c r="D47" s="3"/>
      <c r="E47" s="3"/>
      <c r="F47" s="3"/>
      <c r="G47" s="3"/>
      <c r="H47" s="277"/>
      <c r="I47" s="275"/>
      <c r="O47" s="82">
        <v>1.04</v>
      </c>
      <c r="P47" s="82">
        <f t="shared" si="6"/>
        <v>163.15520000000001</v>
      </c>
      <c r="Q47" s="2"/>
      <c r="T47" s="92"/>
      <c r="U47" s="128"/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B48" s="73"/>
      <c r="C48" s="4"/>
      <c r="D48" s="3"/>
      <c r="E48" s="3"/>
      <c r="F48" s="3"/>
      <c r="G48" s="3"/>
      <c r="H48" s="277"/>
      <c r="I48" s="3"/>
      <c r="O48" s="82">
        <v>1.03</v>
      </c>
      <c r="P48" s="82">
        <f t="shared" si="6"/>
        <v>161.5864</v>
      </c>
      <c r="Q48" s="2"/>
      <c r="T48" s="92"/>
      <c r="U48" s="128"/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B49" s="73"/>
      <c r="C49" s="4"/>
      <c r="D49" s="3"/>
      <c r="E49" s="3"/>
      <c r="F49" s="3"/>
      <c r="G49" s="3"/>
      <c r="H49" s="277"/>
      <c r="I49" s="3"/>
      <c r="O49" s="82">
        <v>1.02</v>
      </c>
      <c r="P49" s="82">
        <f t="shared" si="6"/>
        <v>160.01759999999999</v>
      </c>
      <c r="Q49" s="2"/>
      <c r="T49" s="92"/>
      <c r="U49" s="128"/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73"/>
      <c r="C50" s="4"/>
      <c r="D50" s="3"/>
      <c r="E50" s="3"/>
      <c r="F50" s="3"/>
      <c r="G50" s="3"/>
      <c r="H50" s="277"/>
      <c r="I50" s="3"/>
      <c r="O50" s="82">
        <v>1.01</v>
      </c>
      <c r="P50" s="82">
        <f t="shared" si="6"/>
        <v>158.44880000000001</v>
      </c>
      <c r="Q50" s="2"/>
      <c r="T50" s="92"/>
      <c r="U50" s="128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73"/>
      <c r="C51" s="4"/>
      <c r="D51" s="3"/>
      <c r="E51" s="3"/>
      <c r="F51" s="3"/>
      <c r="G51" s="3"/>
      <c r="H51" s="277"/>
      <c r="I51" s="3"/>
      <c r="O51" s="82">
        <v>1</v>
      </c>
      <c r="P51" s="82">
        <f t="shared" si="6"/>
        <v>156.88</v>
      </c>
      <c r="Q51" s="2"/>
      <c r="T51" s="92"/>
      <c r="U51" s="128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73"/>
      <c r="C52" s="4"/>
      <c r="D52" s="3"/>
      <c r="E52" s="3"/>
      <c r="F52" s="3"/>
      <c r="G52" s="3"/>
      <c r="H52" s="277"/>
      <c r="I52" s="3"/>
      <c r="O52" s="82">
        <v>0.99</v>
      </c>
      <c r="P52" s="82">
        <f t="shared" si="6"/>
        <v>155.31119999999999</v>
      </c>
      <c r="Q52" s="2"/>
      <c r="T52" s="92"/>
      <c r="U52" s="128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73"/>
      <c r="C53" s="4"/>
      <c r="D53" s="3"/>
      <c r="E53" s="3"/>
      <c r="F53" s="3"/>
      <c r="G53" s="3"/>
      <c r="H53" s="277"/>
      <c r="I53" s="3"/>
      <c r="O53" s="82">
        <v>0.98</v>
      </c>
      <c r="P53" s="82">
        <f t="shared" si="6"/>
        <v>153.7424</v>
      </c>
      <c r="Q53" s="2"/>
      <c r="T53" s="92"/>
      <c r="U53" s="129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A54" s="4"/>
      <c r="B54" s="73"/>
      <c r="C54" s="4"/>
      <c r="D54" s="3"/>
      <c r="E54" s="3"/>
      <c r="F54" s="3"/>
      <c r="G54" s="3"/>
      <c r="H54" s="277"/>
      <c r="I54" s="3"/>
      <c r="J54" s="3"/>
      <c r="K54" s="3"/>
      <c r="L54" s="4"/>
      <c r="O54" s="82">
        <v>0.97</v>
      </c>
      <c r="P54" s="82">
        <f t="shared" si="6"/>
        <v>152.17359999999999</v>
      </c>
      <c r="T54" s="92"/>
      <c r="U54" s="129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x14ac:dyDescent="0.25">
      <c r="A55" s="4"/>
      <c r="B55" s="73"/>
      <c r="C55" s="4"/>
      <c r="D55" s="3"/>
      <c r="E55" s="3"/>
      <c r="F55" s="3"/>
      <c r="G55" s="3"/>
      <c r="H55" s="277"/>
      <c r="I55" s="3"/>
      <c r="J55" s="3"/>
      <c r="K55" s="3"/>
      <c r="L55" s="4"/>
      <c r="O55" s="82">
        <v>0.96</v>
      </c>
      <c r="P55" s="82">
        <f t="shared" si="6"/>
        <v>150.60479999999998</v>
      </c>
      <c r="T55" s="92"/>
      <c r="U55" s="128"/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x14ac:dyDescent="0.25">
      <c r="A56" s="4"/>
      <c r="B56" s="73"/>
      <c r="C56" s="4"/>
      <c r="D56" s="3"/>
      <c r="E56" s="3"/>
      <c r="F56" s="3"/>
      <c r="G56" s="3"/>
      <c r="H56" s="277"/>
      <c r="I56" s="3"/>
      <c r="J56" s="3"/>
      <c r="K56" s="3"/>
      <c r="L56" s="4"/>
      <c r="O56" s="82">
        <v>0.95</v>
      </c>
      <c r="P56" s="82">
        <f t="shared" si="6"/>
        <v>149.036</v>
      </c>
      <c r="T56" s="92"/>
      <c r="U56" s="128"/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4"/>
      <c r="B57" s="73"/>
      <c r="C57" s="4"/>
      <c r="D57" s="3"/>
      <c r="E57" s="3"/>
      <c r="F57" s="3"/>
      <c r="G57" s="3"/>
      <c r="H57" s="277"/>
      <c r="I57" s="3"/>
      <c r="J57" s="3"/>
      <c r="K57" s="3"/>
      <c r="L57" s="4"/>
      <c r="O57" s="82">
        <v>0.94</v>
      </c>
      <c r="P57" s="82">
        <f t="shared" si="6"/>
        <v>147.46719999999999</v>
      </c>
      <c r="T57" s="92"/>
      <c r="U57" s="128"/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4"/>
      <c r="B58" s="73"/>
      <c r="C58" s="4"/>
      <c r="D58" s="3"/>
      <c r="E58" s="3"/>
      <c r="F58" s="3"/>
      <c r="G58" s="3"/>
      <c r="H58" s="277"/>
      <c r="I58" s="3"/>
      <c r="J58" s="3"/>
      <c r="K58" s="3"/>
      <c r="L58" s="4"/>
      <c r="O58" s="82">
        <v>0.93</v>
      </c>
      <c r="P58" s="82">
        <f t="shared" si="6"/>
        <v>145.89840000000001</v>
      </c>
      <c r="T58" s="92"/>
      <c r="U58" s="128"/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4"/>
      <c r="B59" s="73"/>
      <c r="C59" s="4"/>
      <c r="D59" s="3"/>
      <c r="E59" s="3"/>
      <c r="F59" s="3"/>
      <c r="G59" s="3"/>
      <c r="H59" s="277"/>
      <c r="I59" s="3"/>
      <c r="J59" s="3"/>
      <c r="K59" s="3"/>
      <c r="L59" s="4"/>
      <c r="O59" s="82">
        <v>0.92</v>
      </c>
      <c r="P59" s="82">
        <f t="shared" si="6"/>
        <v>144.3296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4"/>
      <c r="B60" s="73"/>
      <c r="C60" s="4"/>
      <c r="D60" s="3"/>
      <c r="E60" s="3"/>
      <c r="F60" s="3"/>
      <c r="G60" s="3"/>
      <c r="H60" s="277"/>
      <c r="I60" s="3"/>
      <c r="J60" s="3"/>
      <c r="K60" s="3"/>
      <c r="L60" s="4"/>
      <c r="O60" s="82">
        <v>0.91</v>
      </c>
      <c r="P60" s="82">
        <f t="shared" si="6"/>
        <v>142.76079999999999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4"/>
      <c r="B61" s="73"/>
      <c r="C61" s="4"/>
      <c r="D61" s="3"/>
      <c r="E61" s="3"/>
      <c r="F61" s="3"/>
      <c r="G61" s="3"/>
      <c r="H61" s="277"/>
      <c r="I61" s="3"/>
      <c r="J61" s="3"/>
      <c r="K61" s="3"/>
      <c r="L61" s="4"/>
      <c r="O61" s="82">
        <v>0.9</v>
      </c>
      <c r="P61" s="82">
        <f t="shared" si="6"/>
        <v>141.19200000000001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4"/>
      <c r="B62" s="73"/>
      <c r="C62" s="4"/>
      <c r="D62" s="3"/>
      <c r="E62" s="3"/>
      <c r="F62" s="3"/>
      <c r="G62" s="3"/>
      <c r="H62" s="277"/>
      <c r="I62" s="3"/>
      <c r="J62" s="3"/>
      <c r="K62" s="3"/>
      <c r="L62" s="4"/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4"/>
      <c r="B63" s="73"/>
      <c r="C63" s="4"/>
      <c r="D63" s="3"/>
      <c r="E63" s="3"/>
      <c r="F63" s="3"/>
      <c r="G63" s="3"/>
      <c r="H63" s="277"/>
      <c r="I63" s="3"/>
      <c r="J63" s="3"/>
      <c r="K63" s="3"/>
      <c r="L63" s="4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536" t="s">
        <v>1</v>
      </c>
      <c r="B67" s="536" t="s">
        <v>2</v>
      </c>
      <c r="C67" s="536" t="s">
        <v>4</v>
      </c>
      <c r="D67" s="537" t="s">
        <v>5</v>
      </c>
      <c r="E67" s="537" t="s">
        <v>94</v>
      </c>
      <c r="F67" s="537" t="s">
        <v>60</v>
      </c>
      <c r="G67" s="536" t="s">
        <v>3</v>
      </c>
      <c r="H67" s="536" t="s">
        <v>6</v>
      </c>
      <c r="I67" s="537" t="s">
        <v>7</v>
      </c>
      <c r="J67" s="537" t="s">
        <v>95</v>
      </c>
      <c r="K67" s="537" t="s">
        <v>61</v>
      </c>
      <c r="L67" s="536" t="s">
        <v>37</v>
      </c>
      <c r="M67" s="536" t="s">
        <v>38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538"/>
      <c r="B68" s="520"/>
      <c r="C68" s="521"/>
      <c r="D68" s="523"/>
      <c r="E68" s="523"/>
      <c r="F68" s="523"/>
      <c r="G68" s="520"/>
      <c r="H68" s="539"/>
      <c r="I68" s="523"/>
      <c r="J68" s="523"/>
      <c r="K68" s="523"/>
      <c r="L68" s="520"/>
      <c r="M68" s="523"/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540"/>
      <c r="B69" s="520"/>
      <c r="C69" s="521"/>
      <c r="D69" s="523"/>
      <c r="E69" s="523"/>
      <c r="F69" s="523"/>
      <c r="G69" s="520"/>
      <c r="H69" s="539"/>
      <c r="I69" s="523"/>
      <c r="J69" s="523"/>
      <c r="K69" s="523"/>
      <c r="L69" s="521"/>
      <c r="M69" s="521"/>
      <c r="AD69" s="2"/>
      <c r="AE69" s="135"/>
    </row>
    <row r="70" spans="1:31" x14ac:dyDescent="0.25">
      <c r="A70" s="521"/>
      <c r="B70" s="520"/>
      <c r="C70" s="521"/>
      <c r="D70" s="523"/>
      <c r="E70" s="523"/>
      <c r="F70" s="523"/>
      <c r="G70" s="520"/>
      <c r="H70" s="539"/>
      <c r="I70" s="523"/>
      <c r="J70" s="523"/>
      <c r="K70" s="523"/>
      <c r="L70" s="521"/>
      <c r="M70" s="521"/>
    </row>
    <row r="71" spans="1:31" x14ac:dyDescent="0.25">
      <c r="A71" s="521"/>
      <c r="B71" s="520"/>
      <c r="C71" s="521"/>
      <c r="D71" s="523"/>
      <c r="E71" s="523"/>
      <c r="F71" s="523"/>
      <c r="G71" s="521"/>
      <c r="H71" s="539"/>
      <c r="I71" s="523"/>
      <c r="J71" s="523"/>
      <c r="K71" s="523"/>
      <c r="L71" s="521"/>
      <c r="M71" s="521"/>
    </row>
    <row r="72" spans="1:31" x14ac:dyDescent="0.25">
      <c r="A72" s="521"/>
      <c r="B72" s="520"/>
      <c r="C72" s="521"/>
      <c r="D72" s="523"/>
      <c r="E72" s="523"/>
      <c r="F72" s="523"/>
      <c r="G72" s="521"/>
      <c r="H72" s="539"/>
      <c r="I72" s="523"/>
      <c r="J72" s="523"/>
      <c r="K72" s="523"/>
      <c r="L72" s="521"/>
      <c r="M72" s="521"/>
    </row>
    <row r="73" spans="1:31" x14ac:dyDescent="0.25">
      <c r="A73" s="521"/>
      <c r="B73" s="521"/>
      <c r="C73" s="521"/>
      <c r="D73" s="523"/>
      <c r="E73" s="523"/>
      <c r="F73" s="523"/>
      <c r="G73" s="521"/>
      <c r="H73" s="539"/>
      <c r="I73" s="523"/>
      <c r="J73" s="523"/>
      <c r="K73" s="523"/>
      <c r="L73" s="521"/>
      <c r="M73" s="521"/>
    </row>
    <row r="74" spans="1:31" x14ac:dyDescent="0.25">
      <c r="A74" s="521"/>
      <c r="B74" s="521"/>
      <c r="C74" s="521"/>
      <c r="D74" s="523"/>
      <c r="E74" s="523"/>
      <c r="F74" s="523"/>
      <c r="G74" s="521"/>
      <c r="H74" s="539"/>
      <c r="I74" s="523"/>
      <c r="J74" s="523"/>
      <c r="K74" s="523"/>
      <c r="L74" s="521"/>
      <c r="M74" s="521"/>
    </row>
    <row r="75" spans="1:31" x14ac:dyDescent="0.25">
      <c r="A75" s="521"/>
      <c r="B75" s="521"/>
      <c r="C75" s="521"/>
      <c r="D75" s="523"/>
      <c r="E75" s="523"/>
      <c r="F75" s="523"/>
      <c r="G75" s="521"/>
      <c r="H75" s="539"/>
      <c r="I75" s="523"/>
      <c r="J75" s="523"/>
      <c r="K75" s="523"/>
      <c r="L75" s="521"/>
      <c r="M75" s="521"/>
    </row>
    <row r="76" spans="1:31" x14ac:dyDescent="0.25">
      <c r="A76" s="521"/>
      <c r="B76" s="521"/>
      <c r="C76" s="521"/>
      <c r="D76" s="523"/>
      <c r="E76" s="523"/>
      <c r="F76" s="523"/>
      <c r="G76" s="521"/>
      <c r="H76" s="539"/>
      <c r="I76" s="523"/>
      <c r="J76" s="523"/>
      <c r="K76" s="523"/>
      <c r="L76" s="521"/>
      <c r="M76" s="521"/>
    </row>
    <row r="77" spans="1:31" x14ac:dyDescent="0.25">
      <c r="A77" s="521"/>
      <c r="B77" s="521"/>
      <c r="C77" s="521"/>
      <c r="D77" s="523"/>
      <c r="E77" s="523"/>
      <c r="F77" s="523"/>
      <c r="G77" s="521"/>
      <c r="H77" s="539"/>
      <c r="I77" s="523"/>
      <c r="J77" s="523"/>
      <c r="K77" s="523"/>
      <c r="L77" s="521"/>
      <c r="M77" s="521"/>
    </row>
    <row r="78" spans="1:31" x14ac:dyDescent="0.25">
      <c r="A78" s="521"/>
      <c r="B78" s="521"/>
      <c r="C78" s="521"/>
      <c r="D78" s="523"/>
      <c r="E78" s="523"/>
      <c r="F78" s="523"/>
      <c r="G78" s="521"/>
      <c r="H78" s="539"/>
      <c r="I78" s="523"/>
      <c r="J78" s="523"/>
      <c r="K78" s="523"/>
      <c r="L78" s="521"/>
      <c r="M78" s="521"/>
    </row>
    <row r="79" spans="1:31" x14ac:dyDescent="0.25">
      <c r="A79" s="521"/>
      <c r="B79" s="521"/>
      <c r="C79" s="521"/>
      <c r="D79" s="523"/>
      <c r="E79" s="523"/>
      <c r="F79" s="523"/>
      <c r="G79" s="521"/>
      <c r="H79" s="539"/>
      <c r="I79" s="523"/>
      <c r="J79" s="523"/>
      <c r="K79" s="523"/>
      <c r="L79" s="521"/>
      <c r="M79" s="521"/>
    </row>
    <row r="80" spans="1:31" x14ac:dyDescent="0.25">
      <c r="A80" s="521"/>
      <c r="B80" s="521"/>
      <c r="C80" s="521"/>
      <c r="D80" s="523"/>
      <c r="E80" s="523"/>
      <c r="F80" s="523"/>
      <c r="G80" s="521"/>
      <c r="H80" s="539"/>
      <c r="I80" s="523"/>
      <c r="J80" s="523"/>
      <c r="K80" s="523"/>
      <c r="L80" s="521"/>
      <c r="M80" s="521"/>
    </row>
    <row r="81" spans="1:13" x14ac:dyDescent="0.25">
      <c r="A81" s="521"/>
      <c r="B81" s="521"/>
      <c r="C81" s="521"/>
      <c r="D81" s="523"/>
      <c r="E81" s="523"/>
      <c r="F81" s="523"/>
      <c r="G81" s="521"/>
      <c r="H81" s="539"/>
      <c r="I81" s="523"/>
      <c r="J81" s="523"/>
      <c r="K81" s="523"/>
      <c r="L81" s="521"/>
      <c r="M81" s="521"/>
    </row>
    <row r="82" spans="1:13" x14ac:dyDescent="0.25">
      <c r="A82" s="521"/>
      <c r="B82" s="521"/>
      <c r="C82" s="521"/>
      <c r="D82" s="523"/>
      <c r="E82" s="523"/>
      <c r="F82" s="523"/>
      <c r="G82" s="521"/>
      <c r="H82" s="539"/>
      <c r="I82" s="523"/>
      <c r="J82" s="523"/>
      <c r="K82" s="523"/>
      <c r="L82" s="521"/>
      <c r="M82" s="521"/>
    </row>
    <row r="83" spans="1:13" x14ac:dyDescent="0.25">
      <c r="A83" s="521"/>
      <c r="B83" s="521"/>
      <c r="C83" s="521"/>
      <c r="D83" s="523"/>
      <c r="E83" s="523"/>
      <c r="F83" s="523"/>
      <c r="G83" s="521"/>
      <c r="H83" s="521"/>
      <c r="I83" s="523"/>
      <c r="J83" s="523"/>
      <c r="K83" s="523"/>
      <c r="L83" s="521"/>
      <c r="M83" s="521"/>
    </row>
    <row r="84" spans="1:13" x14ac:dyDescent="0.25">
      <c r="A84" s="541" t="s">
        <v>81</v>
      </c>
      <c r="B84" s="542"/>
      <c r="C84" s="542">
        <f>SUM(C68:C72)</f>
        <v>0</v>
      </c>
      <c r="D84" s="543"/>
      <c r="E84" s="543"/>
      <c r="F84" s="543">
        <f>SUM(F68:F72)</f>
        <v>0</v>
      </c>
      <c r="G84" s="542"/>
      <c r="H84" s="565">
        <f>SUM(H68:H71)</f>
        <v>0</v>
      </c>
      <c r="I84" s="543"/>
      <c r="J84" s="543"/>
      <c r="K84" s="543">
        <f>SUM(K68:K71)</f>
        <v>0</v>
      </c>
      <c r="L84" s="542"/>
      <c r="M84" s="543">
        <f>SUM(M68:M76)</f>
        <v>0</v>
      </c>
    </row>
    <row r="85" spans="1:13" ht="15.75" thickBot="1" x14ac:dyDescent="0.3">
      <c r="A85" s="544" t="s">
        <v>195</v>
      </c>
      <c r="B85" s="545"/>
      <c r="C85" s="546">
        <f>SumByColor($A$19,C68:C83)</f>
        <v>0</v>
      </c>
      <c r="D85" s="546"/>
      <c r="E85" s="546"/>
      <c r="F85" s="547">
        <f>SumByColor($A$19,F68:F83)</f>
        <v>0</v>
      </c>
      <c r="G85" s="546"/>
      <c r="H85" s="546">
        <f>SumByColor($A$19,H68:H83)</f>
        <v>0</v>
      </c>
      <c r="I85" s="546"/>
      <c r="J85" s="546"/>
      <c r="K85" s="547">
        <f>SumByColor($A$19,K69:K83)</f>
        <v>0</v>
      </c>
      <c r="L85" s="546"/>
      <c r="M85" s="547">
        <f>SumByColor($A$19,M68:M83)</f>
        <v>0</v>
      </c>
    </row>
    <row r="88" spans="1:13" x14ac:dyDescent="0.25">
      <c r="B88" s="692" t="s">
        <v>113</v>
      </c>
      <c r="C88" s="692" t="s">
        <v>146</v>
      </c>
      <c r="D88" s="693" t="s">
        <v>145</v>
      </c>
      <c r="E88" s="694" t="s">
        <v>147</v>
      </c>
      <c r="F88" s="694" t="s">
        <v>65</v>
      </c>
      <c r="G88" s="695" t="s">
        <v>151</v>
      </c>
      <c r="H88" s="695" t="s">
        <v>88</v>
      </c>
      <c r="I88" s="695" t="s">
        <v>154</v>
      </c>
    </row>
    <row r="89" spans="1:13" x14ac:dyDescent="0.25">
      <c r="B89" s="593"/>
      <c r="C89" s="590"/>
      <c r="D89" s="591"/>
      <c r="E89" s="591"/>
      <c r="F89" s="591"/>
      <c r="G89" s="591"/>
      <c r="H89" s="696"/>
      <c r="I89" s="591"/>
    </row>
    <row r="90" spans="1:13" x14ac:dyDescent="0.25">
      <c r="B90" s="593"/>
      <c r="C90" s="590"/>
      <c r="D90" s="591"/>
      <c r="E90" s="591"/>
      <c r="F90" s="591"/>
      <c r="G90" s="591"/>
      <c r="H90" s="696"/>
      <c r="I90" s="591"/>
    </row>
    <row r="91" spans="1:13" x14ac:dyDescent="0.25">
      <c r="B91" s="593"/>
      <c r="C91" s="590"/>
      <c r="D91" s="591"/>
      <c r="E91" s="591"/>
      <c r="F91" s="591"/>
      <c r="G91" s="591"/>
      <c r="H91" s="696"/>
      <c r="I91" s="591"/>
    </row>
    <row r="92" spans="1:13" x14ac:dyDescent="0.25">
      <c r="B92" s="593"/>
      <c r="C92" s="590"/>
      <c r="D92" s="591"/>
      <c r="E92" s="591"/>
      <c r="F92" s="591"/>
      <c r="G92" s="591"/>
      <c r="H92" s="696"/>
      <c r="I92" s="591"/>
    </row>
    <row r="93" spans="1:13" x14ac:dyDescent="0.25">
      <c r="B93" s="593"/>
      <c r="C93" s="590"/>
      <c r="D93" s="591"/>
      <c r="E93" s="591"/>
      <c r="F93" s="591"/>
      <c r="G93" s="591"/>
      <c r="H93" s="696"/>
      <c r="I93" s="591"/>
    </row>
    <row r="94" spans="1:13" x14ac:dyDescent="0.25">
      <c r="B94" s="593"/>
      <c r="C94" s="590"/>
      <c r="D94" s="591"/>
      <c r="E94" s="591"/>
      <c r="F94" s="591"/>
      <c r="G94" s="591"/>
      <c r="H94" s="696"/>
      <c r="I94" s="591"/>
    </row>
    <row r="95" spans="1:13" x14ac:dyDescent="0.25">
      <c r="B95" s="593"/>
      <c r="C95" s="590"/>
      <c r="D95" s="591"/>
      <c r="E95" s="591"/>
      <c r="F95" s="591"/>
      <c r="G95" s="591"/>
      <c r="H95" s="696"/>
      <c r="I95" s="591"/>
    </row>
    <row r="96" spans="1:13" x14ac:dyDescent="0.25">
      <c r="B96" s="593"/>
      <c r="C96" s="590"/>
      <c r="D96" s="591"/>
      <c r="E96" s="591"/>
      <c r="F96" s="591"/>
      <c r="G96" s="591"/>
      <c r="H96" s="696"/>
      <c r="I96" s="591"/>
    </row>
    <row r="97" spans="2:9" x14ac:dyDescent="0.25">
      <c r="B97" s="593"/>
      <c r="C97" s="590"/>
      <c r="D97" s="591"/>
      <c r="E97" s="591"/>
      <c r="F97" s="591"/>
      <c r="G97" s="591"/>
      <c r="H97" s="696"/>
      <c r="I97" s="591"/>
    </row>
    <row r="98" spans="2:9" x14ac:dyDescent="0.25">
      <c r="B98" s="593"/>
      <c r="C98" s="590"/>
      <c r="D98" s="591"/>
      <c r="E98" s="591"/>
      <c r="F98" s="591"/>
      <c r="G98" s="591"/>
      <c r="H98" s="696"/>
      <c r="I98" s="591"/>
    </row>
    <row r="99" spans="2:9" x14ac:dyDescent="0.25">
      <c r="B99" s="593"/>
      <c r="C99" s="590"/>
      <c r="D99" s="591"/>
      <c r="E99" s="591"/>
      <c r="F99" s="591"/>
      <c r="G99" s="591"/>
      <c r="H99" s="696"/>
      <c r="I99" s="591"/>
    </row>
    <row r="100" spans="2:9" x14ac:dyDescent="0.25">
      <c r="B100" s="593"/>
      <c r="C100" s="590"/>
      <c r="D100" s="591"/>
      <c r="E100" s="591"/>
      <c r="F100" s="591"/>
      <c r="G100" s="591"/>
      <c r="H100" s="696"/>
      <c r="I100" s="591"/>
    </row>
    <row r="101" spans="2:9" x14ac:dyDescent="0.25">
      <c r="B101" s="593"/>
      <c r="C101" s="590"/>
      <c r="D101" s="591"/>
      <c r="E101" s="591"/>
      <c r="F101" s="591"/>
      <c r="G101" s="591"/>
      <c r="H101" s="696"/>
      <c r="I101" s="591"/>
    </row>
    <row r="102" spans="2:9" x14ac:dyDescent="0.25">
      <c r="B102" s="593"/>
      <c r="C102" s="590"/>
      <c r="D102" s="591"/>
      <c r="E102" s="591"/>
      <c r="F102" s="591"/>
      <c r="G102" s="591"/>
      <c r="H102" s="696"/>
      <c r="I102" s="591"/>
    </row>
    <row r="103" spans="2:9" x14ac:dyDescent="0.25">
      <c r="B103" s="593"/>
      <c r="C103" s="590"/>
      <c r="D103" s="591"/>
      <c r="E103" s="591"/>
      <c r="F103" s="591"/>
      <c r="G103" s="591"/>
      <c r="H103" s="696"/>
      <c r="I103" s="591"/>
    </row>
    <row r="104" spans="2:9" x14ac:dyDescent="0.25">
      <c r="B104" s="593"/>
      <c r="C104" s="590"/>
      <c r="D104" s="591"/>
      <c r="E104" s="591"/>
      <c r="F104" s="591"/>
      <c r="G104" s="591"/>
      <c r="H104" s="696"/>
      <c r="I104" s="591"/>
    </row>
    <row r="105" spans="2:9" x14ac:dyDescent="0.25">
      <c r="B105" s="593"/>
      <c r="C105" s="590"/>
      <c r="D105" s="591"/>
      <c r="E105" s="591"/>
      <c r="F105" s="591"/>
      <c r="G105" s="591"/>
      <c r="H105" s="696"/>
      <c r="I105" s="591"/>
    </row>
    <row r="106" spans="2:9" x14ac:dyDescent="0.25">
      <c r="B106" s="593"/>
      <c r="C106" s="590"/>
      <c r="D106" s="591"/>
      <c r="E106" s="591"/>
      <c r="F106" s="591"/>
      <c r="G106" s="591"/>
      <c r="H106" s="696"/>
      <c r="I106" s="591"/>
    </row>
    <row r="107" spans="2:9" x14ac:dyDescent="0.25">
      <c r="B107" s="593"/>
      <c r="C107" s="590"/>
      <c r="D107" s="591"/>
      <c r="E107" s="591"/>
      <c r="F107" s="591"/>
      <c r="G107" s="591"/>
      <c r="H107" s="696"/>
      <c r="I107" s="591"/>
    </row>
    <row r="108" spans="2:9" x14ac:dyDescent="0.25">
      <c r="B108" s="593"/>
      <c r="C108" s="590"/>
      <c r="D108" s="591"/>
      <c r="E108" s="591"/>
      <c r="F108" s="591"/>
      <c r="G108" s="591"/>
      <c r="H108" s="696"/>
      <c r="I108" s="591"/>
    </row>
    <row r="109" spans="2:9" x14ac:dyDescent="0.25">
      <c r="B109" s="593"/>
      <c r="C109" s="590"/>
      <c r="D109" s="591"/>
      <c r="E109" s="591"/>
      <c r="F109" s="591"/>
      <c r="G109" s="591"/>
      <c r="H109" s="696"/>
      <c r="I109" s="591"/>
    </row>
    <row r="110" spans="2:9" x14ac:dyDescent="0.25">
      <c r="B110" s="593"/>
      <c r="C110" s="590"/>
      <c r="D110" s="591"/>
      <c r="E110" s="591"/>
      <c r="F110" s="591"/>
      <c r="G110" s="591"/>
      <c r="H110" s="696"/>
      <c r="I110" s="59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8" priority="21">
      <formula>F47&gt;0</formula>
    </cfRule>
    <cfRule type="expression" dxfId="887" priority="22">
      <formula>F47&lt;0</formula>
    </cfRule>
  </conditionalFormatting>
  <conditionalFormatting sqref="Q7">
    <cfRule type="expression" dxfId="886" priority="19">
      <formula>Q7&gt;0</formula>
    </cfRule>
    <cfRule type="expression" dxfId="885" priority="20">
      <formula>Q7&lt;0</formula>
    </cfRule>
  </conditionalFormatting>
  <conditionalFormatting sqref="Q8">
    <cfRule type="expression" dxfId="884" priority="17">
      <formula>Q8&gt;0</formula>
    </cfRule>
    <cfRule type="expression" dxfId="883" priority="18">
      <formula>Q8&lt;0</formula>
    </cfRule>
  </conditionalFormatting>
  <conditionalFormatting sqref="F25:F46">
    <cfRule type="expression" dxfId="882" priority="15">
      <formula>F25&gt;0</formula>
    </cfRule>
    <cfRule type="expression" dxfId="881" priority="16">
      <formula>F25&lt;0</formula>
    </cfRule>
  </conditionalFormatting>
  <conditionalFormatting sqref="H25:H46">
    <cfRule type="expression" dxfId="880" priority="13">
      <formula>H25&gt;0</formula>
    </cfRule>
    <cfRule type="expression" dxfId="879" priority="14">
      <formula>H25&lt;0</formula>
    </cfRule>
  </conditionalFormatting>
  <conditionalFormatting sqref="F89:F110">
    <cfRule type="expression" dxfId="878" priority="11">
      <formula>F89&gt;0</formula>
    </cfRule>
    <cfRule type="expression" dxfId="877" priority="12">
      <formula>F89&lt;0</formula>
    </cfRule>
  </conditionalFormatting>
  <conditionalFormatting sqref="H89:H110">
    <cfRule type="expression" dxfId="876" priority="9">
      <formula>H89&gt;0</formula>
    </cfRule>
    <cfRule type="expression" dxfId="875" priority="10">
      <formula>H89&lt;0</formula>
    </cfRule>
  </conditionalFormatting>
  <conditionalFormatting sqref="Q10">
    <cfRule type="expression" dxfId="874" priority="7">
      <formula>Q10&gt;0</formula>
    </cfRule>
    <cfRule type="expression" dxfId="873" priority="8">
      <formula>Q10&lt;0</formula>
    </cfRule>
  </conditionalFormatting>
  <conditionalFormatting sqref="J25:J38">
    <cfRule type="expression" dxfId="872" priority="5">
      <formula>J25&gt;0</formula>
    </cfRule>
    <cfRule type="expression" dxfId="871" priority="6">
      <formula>J25&lt;0</formula>
    </cfRule>
  </conditionalFormatting>
  <conditionalFormatting sqref="K25:K38">
    <cfRule type="expression" dxfId="870" priority="3">
      <formula>K25&gt;0</formula>
    </cfRule>
    <cfRule type="expression" dxfId="869" priority="4">
      <formula>K25&lt;0</formula>
    </cfRule>
  </conditionalFormatting>
  <conditionalFormatting sqref="L25:L38">
    <cfRule type="expression" dxfId="868" priority="1">
      <formula>L25&gt;0</formula>
    </cfRule>
    <cfRule type="expression" dxfId="86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2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2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5"/>
      <c r="W2" s="121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5">
        <f>AC2/AC3-1</f>
        <v>1.0082493125572745E-2</v>
      </c>
    </row>
    <row r="3" spans="1:42" x14ac:dyDescent="0.25">
      <c r="A3" s="23" t="s">
        <v>71</v>
      </c>
      <c r="B3" s="452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2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8">
        <f>IF(Q2=0, Q4, (F118-K118)/Q2)</f>
        <v>35.42287000000011</v>
      </c>
      <c r="T3" s="160"/>
      <c r="W3" s="121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5">
        <f t="shared" ref="AE3:AE66" si="2">AC3/AC4-1</f>
        <v>-1.8298261665141702E-3</v>
      </c>
      <c r="AJ3" s="232"/>
      <c r="AL3" s="231"/>
      <c r="AO3" s="231"/>
    </row>
    <row r="4" spans="1:42" x14ac:dyDescent="0.25">
      <c r="B4" s="452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2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13.91</v>
      </c>
      <c r="R4" s="497">
        <v>5.1000000000000004E-3</v>
      </c>
      <c r="T4" s="1" t="s">
        <v>482</v>
      </c>
      <c r="W4" s="121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5">
        <f t="shared" si="2"/>
        <v>-1.0859728506787403E-2</v>
      </c>
      <c r="AL4" s="231"/>
      <c r="AO4" s="231"/>
    </row>
    <row r="5" spans="1:42" x14ac:dyDescent="0.25">
      <c r="B5" s="452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2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13910</v>
      </c>
      <c r="T5" s="1"/>
      <c r="W5" s="121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5">
        <f t="shared" si="2"/>
        <v>2.031394275161591E-2</v>
      </c>
      <c r="AL5" s="231"/>
      <c r="AO5" s="231"/>
    </row>
    <row r="6" spans="1:42" x14ac:dyDescent="0.25">
      <c r="B6" s="452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2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483</v>
      </c>
      <c r="W6" s="121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5">
        <f t="shared" si="2"/>
        <v>-7.3327222731439656E-3</v>
      </c>
      <c r="AL6" s="231"/>
      <c r="AO6" s="231"/>
    </row>
    <row r="7" spans="1:42" x14ac:dyDescent="0.25">
      <c r="B7" s="452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2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179</v>
      </c>
      <c r="Q7" s="2">
        <f>Q10+Q8</f>
        <v>-21512.870000000112</v>
      </c>
      <c r="R7">
        <v>800</v>
      </c>
      <c r="W7" s="121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5">
        <f t="shared" si="2"/>
        <v>1.4883720930232602E-2</v>
      </c>
      <c r="AL7" s="231"/>
      <c r="AO7" s="231"/>
    </row>
    <row r="8" spans="1:42" x14ac:dyDescent="0.25">
      <c r="B8" s="452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2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181</v>
      </c>
      <c r="P8" s="34"/>
      <c r="Q8" s="2">
        <f>K118+M118-F118+Q2*Q4</f>
        <v>-21512.870000000112</v>
      </c>
      <c r="R8" s="163"/>
      <c r="W8" s="121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5">
        <f t="shared" si="2"/>
        <v>-1.8570102135561095E-3</v>
      </c>
      <c r="AL8" s="231"/>
      <c r="AO8" s="231"/>
    </row>
    <row r="9" spans="1:42" x14ac:dyDescent="0.25">
      <c r="B9" s="452">
        <v>42187</v>
      </c>
      <c r="C9" s="4">
        <v>1000</v>
      </c>
      <c r="D9" s="237">
        <v>18.45</v>
      </c>
      <c r="E9" s="3">
        <v>0</v>
      </c>
      <c r="F9" s="3">
        <f t="shared" si="0"/>
        <v>18450</v>
      </c>
      <c r="G9" s="452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211</v>
      </c>
      <c r="Q9" s="135">
        <f>IF(Q2=0, 0, Q8/Q6)</f>
        <v>-0.60731583860935168</v>
      </c>
      <c r="W9" s="121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5">
        <f t="shared" si="2"/>
        <v>-2.7777777777778789E-3</v>
      </c>
      <c r="AL9" s="231"/>
      <c r="AO9" s="231"/>
    </row>
    <row r="10" spans="1:42" x14ac:dyDescent="0.25">
      <c r="B10" s="452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2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210</v>
      </c>
      <c r="P10" s="34"/>
      <c r="Q10" s="2">
        <v>0</v>
      </c>
      <c r="W10" s="121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5">
        <f t="shared" si="2"/>
        <v>6.5237651444547406E-3</v>
      </c>
      <c r="AL10" s="231"/>
      <c r="AO10" s="231"/>
    </row>
    <row r="11" spans="1:42" x14ac:dyDescent="0.25">
      <c r="B11" s="452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2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176</v>
      </c>
      <c r="P11" s="34"/>
      <c r="Q11" s="135">
        <f>IF(U58="N/A (N/A)", 0, VALUE(TRIM(CLEAN(MID(U58, FIND("(", U58)+1, 5)))))</f>
        <v>0</v>
      </c>
      <c r="T11" s="11"/>
      <c r="W11" s="121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5">
        <f t="shared" si="2"/>
        <v>6.5666041275798115E-3</v>
      </c>
      <c r="AL11" s="231"/>
      <c r="AO11" s="231"/>
    </row>
    <row r="12" spans="1:42" x14ac:dyDescent="0.25">
      <c r="B12" s="452">
        <v>42207</v>
      </c>
      <c r="C12" s="4">
        <v>30</v>
      </c>
      <c r="D12" s="237">
        <v>17.3</v>
      </c>
      <c r="E12" s="3">
        <v>0</v>
      </c>
      <c r="F12" s="3">
        <f t="shared" si="0"/>
        <v>519</v>
      </c>
      <c r="G12" s="452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1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5">
        <f t="shared" si="2"/>
        <v>-2.2018348623853212E-2</v>
      </c>
      <c r="AL12" s="231"/>
      <c r="AO12" s="231"/>
    </row>
    <row r="13" spans="1:42" x14ac:dyDescent="0.25">
      <c r="B13" s="452">
        <v>42207</v>
      </c>
      <c r="C13" s="4">
        <v>20</v>
      </c>
      <c r="D13" s="237">
        <v>17.399999999999999</v>
      </c>
      <c r="E13" s="3">
        <v>0</v>
      </c>
      <c r="F13" s="3">
        <f t="shared" si="0"/>
        <v>348</v>
      </c>
      <c r="G13" s="451"/>
      <c r="H13" s="7"/>
      <c r="I13" s="78"/>
      <c r="J13" s="44"/>
      <c r="K13" s="44"/>
      <c r="W13" s="121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5">
        <f t="shared" si="2"/>
        <v>2.3474178403755763E-2</v>
      </c>
    </row>
    <row r="14" spans="1:42" x14ac:dyDescent="0.25">
      <c r="B14" s="452">
        <v>42208</v>
      </c>
      <c r="C14" s="4">
        <v>100</v>
      </c>
      <c r="D14" s="237">
        <v>17.100000000000001</v>
      </c>
      <c r="E14" s="3">
        <v>0</v>
      </c>
      <c r="F14" s="3">
        <f t="shared" si="0"/>
        <v>1710.0000000000002</v>
      </c>
      <c r="G14" s="494"/>
      <c r="H14" s="7"/>
      <c r="I14" s="78"/>
      <c r="J14" s="44"/>
      <c r="K14" s="44"/>
      <c r="W14" s="121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5">
        <f t="shared" si="2"/>
        <v>-2.1139705882353033E-2</v>
      </c>
    </row>
    <row r="15" spans="1:42" x14ac:dyDescent="0.25">
      <c r="B15" s="452">
        <v>42208</v>
      </c>
      <c r="C15" s="4">
        <v>50</v>
      </c>
      <c r="D15" s="237">
        <v>16.96</v>
      </c>
      <c r="E15" s="3">
        <v>0</v>
      </c>
      <c r="F15" s="3">
        <f t="shared" si="0"/>
        <v>848</v>
      </c>
      <c r="G15" s="494"/>
      <c r="H15" s="81"/>
      <c r="I15" s="78"/>
      <c r="J15" s="44"/>
      <c r="K15" s="44"/>
      <c r="V15" s="2"/>
      <c r="W15" s="121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5">
        <f t="shared" si="2"/>
        <v>-2.857142857142847E-2</v>
      </c>
      <c r="AL15" s="231"/>
      <c r="AO15" s="231"/>
      <c r="AP15" s="231"/>
    </row>
    <row r="16" spans="1:42" x14ac:dyDescent="0.25">
      <c r="B16" s="452">
        <v>42222</v>
      </c>
      <c r="C16" s="4">
        <v>200</v>
      </c>
      <c r="D16" s="237">
        <v>17.739999999999998</v>
      </c>
      <c r="E16" s="3">
        <v>0</v>
      </c>
      <c r="F16" s="3">
        <f t="shared" si="0"/>
        <v>3547.9999999999995</v>
      </c>
      <c r="G16" s="494"/>
      <c r="H16" s="81"/>
      <c r="I16" s="78"/>
      <c r="J16" s="44"/>
      <c r="K16" s="44"/>
      <c r="V16" s="2"/>
      <c r="W16" s="121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5">
        <f t="shared" si="2"/>
        <v>1.3574660633484115E-2</v>
      </c>
    </row>
    <row r="17" spans="2:42" x14ac:dyDescent="0.25">
      <c r="B17" s="452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4"/>
      <c r="H17" s="81"/>
      <c r="I17" s="78"/>
      <c r="J17" s="44"/>
      <c r="K17" s="44"/>
      <c r="V17" s="2"/>
      <c r="W17" s="121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5">
        <f t="shared" si="2"/>
        <v>2.6951672862453702E-2</v>
      </c>
      <c r="AL17" s="231"/>
      <c r="AO17" s="231"/>
      <c r="AP17" s="231"/>
    </row>
    <row r="18" spans="2:42" x14ac:dyDescent="0.25">
      <c r="B18" s="452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4"/>
      <c r="H18" s="81"/>
      <c r="I18" s="78"/>
      <c r="J18" s="44"/>
      <c r="K18" s="44"/>
      <c r="V18" s="2"/>
      <c r="W18" s="121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5">
        <f t="shared" si="2"/>
        <v>-1.3748854262144894E-2</v>
      </c>
    </row>
    <row r="19" spans="2:42" x14ac:dyDescent="0.25">
      <c r="B19" s="452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4"/>
      <c r="H19" s="81"/>
      <c r="I19" s="78"/>
      <c r="J19" s="44"/>
      <c r="K19" s="44"/>
      <c r="W19" s="121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5">
        <f t="shared" si="2"/>
        <v>-9.0826521344232747E-3</v>
      </c>
      <c r="AL19" s="231"/>
      <c r="AO19" s="231"/>
    </row>
    <row r="20" spans="2:42" x14ac:dyDescent="0.25">
      <c r="B20" s="452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1"/>
      <c r="H20" s="7"/>
      <c r="I20" s="78"/>
      <c r="J20" s="44"/>
      <c r="K20" s="44"/>
      <c r="W20" s="121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5">
        <f t="shared" si="2"/>
        <v>-6.3176895306858993E-3</v>
      </c>
    </row>
    <row r="21" spans="2:42" x14ac:dyDescent="0.25">
      <c r="B21" s="452">
        <v>42227</v>
      </c>
      <c r="C21" s="4">
        <v>100</v>
      </c>
      <c r="D21" s="237">
        <v>17.100000000000001</v>
      </c>
      <c r="E21" s="3">
        <v>0</v>
      </c>
      <c r="F21" s="3">
        <f t="shared" si="0"/>
        <v>1710.0000000000002</v>
      </c>
      <c r="G21" s="451"/>
      <c r="H21" s="7"/>
      <c r="I21" s="78"/>
      <c r="J21" s="44"/>
      <c r="K21" s="44"/>
      <c r="W21" s="121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5">
        <f t="shared" si="2"/>
        <v>1.0027347310847645E-2</v>
      </c>
    </row>
    <row r="22" spans="2:42" x14ac:dyDescent="0.25">
      <c r="B22" s="452">
        <v>42229</v>
      </c>
      <c r="C22" s="4">
        <v>100</v>
      </c>
      <c r="D22" s="237">
        <v>16.89</v>
      </c>
      <c r="E22" s="3">
        <v>0</v>
      </c>
      <c r="F22" s="3">
        <f t="shared" si="0"/>
        <v>1689</v>
      </c>
      <c r="G22" s="451"/>
      <c r="H22" s="7"/>
      <c r="I22" s="78"/>
      <c r="J22" s="44"/>
      <c r="K22" s="44"/>
      <c r="W22" s="121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5">
        <f t="shared" si="2"/>
        <v>-2.4021352313167266E-2</v>
      </c>
    </row>
    <row r="23" spans="2:42" x14ac:dyDescent="0.25">
      <c r="B23" s="452">
        <v>42233</v>
      </c>
      <c r="C23" s="4">
        <v>100</v>
      </c>
      <c r="D23" s="237">
        <v>16.5</v>
      </c>
      <c r="E23" s="3">
        <v>0</v>
      </c>
      <c r="F23" s="3">
        <f t="shared" si="0"/>
        <v>1650</v>
      </c>
      <c r="G23" s="451"/>
      <c r="H23" s="81"/>
      <c r="I23" s="78"/>
      <c r="J23" s="44"/>
      <c r="K23" s="44"/>
      <c r="M23" s="2"/>
      <c r="W23" s="121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5">
        <f t="shared" si="2"/>
        <v>-3.8494439692044469E-2</v>
      </c>
    </row>
    <row r="24" spans="2:42" x14ac:dyDescent="0.25">
      <c r="B24" s="452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1"/>
      <c r="H24" s="81"/>
      <c r="I24" s="78"/>
      <c r="J24" s="44"/>
      <c r="K24" s="44"/>
      <c r="W24" s="121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5">
        <f t="shared" si="2"/>
        <v>-1.433389544688024E-2</v>
      </c>
    </row>
    <row r="25" spans="2:42" x14ac:dyDescent="0.25">
      <c r="B25" s="452">
        <v>42244</v>
      </c>
      <c r="C25" s="4">
        <v>200</v>
      </c>
      <c r="D25" s="237">
        <v>15.4</v>
      </c>
      <c r="E25" s="3">
        <v>0</v>
      </c>
      <c r="F25" s="3">
        <f t="shared" ref="F25:F36" si="4">C25*D25</f>
        <v>3080</v>
      </c>
      <c r="G25" s="451"/>
      <c r="H25" s="81"/>
      <c r="I25" s="78"/>
      <c r="J25" s="44"/>
      <c r="K25" s="44"/>
      <c r="W25" s="121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5">
        <f t="shared" si="2"/>
        <v>0</v>
      </c>
      <c r="AL25" s="231"/>
      <c r="AO25" s="231"/>
    </row>
    <row r="26" spans="2:42" x14ac:dyDescent="0.25">
      <c r="B26" s="452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1"/>
      <c r="H26" s="81"/>
      <c r="I26" s="78"/>
      <c r="J26" s="44"/>
      <c r="K26" s="44"/>
      <c r="W26" s="121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5">
        <f t="shared" si="2"/>
        <v>2.0654044750430423E-2</v>
      </c>
    </row>
    <row r="27" spans="2:42" x14ac:dyDescent="0.25">
      <c r="B27" s="452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1"/>
      <c r="H27" s="7"/>
      <c r="I27" s="78"/>
      <c r="J27" s="44"/>
      <c r="K27" s="44"/>
      <c r="W27" s="121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5">
        <f t="shared" si="2"/>
        <v>-7.6857386848848686E-3</v>
      </c>
      <c r="AL27" s="231"/>
      <c r="AO27" s="231"/>
    </row>
    <row r="28" spans="2:42" x14ac:dyDescent="0.25">
      <c r="B28" s="452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1"/>
      <c r="H28" s="7"/>
      <c r="I28" s="78"/>
      <c r="J28" s="44"/>
      <c r="K28" s="44"/>
      <c r="W28" s="121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5">
        <f t="shared" si="2"/>
        <v>8.5470085470107371E-4</v>
      </c>
    </row>
    <row r="29" spans="2:42" x14ac:dyDescent="0.25">
      <c r="B29" s="452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1"/>
      <c r="H29" s="7"/>
      <c r="I29" s="78"/>
      <c r="J29" s="44"/>
      <c r="K29" s="44"/>
      <c r="W29" s="121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5">
        <f t="shared" si="2"/>
        <v>-5.1020408163265918E-3</v>
      </c>
    </row>
    <row r="30" spans="2:42" x14ac:dyDescent="0.25">
      <c r="B30" s="452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4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1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5">
        <f t="shared" si="2"/>
        <v>-3.3898305084746339E-3</v>
      </c>
    </row>
    <row r="31" spans="2:42" x14ac:dyDescent="0.25">
      <c r="B31" s="452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4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1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5">
        <f t="shared" si="2"/>
        <v>8.4817642069556776E-4</v>
      </c>
      <c r="AL31" s="231"/>
      <c r="AO31" s="231"/>
    </row>
    <row r="32" spans="2:42" x14ac:dyDescent="0.25">
      <c r="B32" s="452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4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1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5">
        <f t="shared" si="2"/>
        <v>4.2589437819420262E-3</v>
      </c>
    </row>
    <row r="33" spans="2:41" x14ac:dyDescent="0.25">
      <c r="B33" s="452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4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1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5">
        <f t="shared" si="2"/>
        <v>2.3539668700959027E-2</v>
      </c>
      <c r="AL33" s="231"/>
      <c r="AO33" s="231"/>
    </row>
    <row r="34" spans="2:41" x14ac:dyDescent="0.25">
      <c r="B34" s="452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4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1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5">
        <f t="shared" si="2"/>
        <v>-7.7854671280276344E-3</v>
      </c>
    </row>
    <row r="35" spans="2:41" x14ac:dyDescent="0.25">
      <c r="B35" s="452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4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1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5">
        <f t="shared" si="2"/>
        <v>-1.112061591103497E-2</v>
      </c>
      <c r="AL35" s="231"/>
      <c r="AO35" s="231"/>
    </row>
    <row r="36" spans="2:41" x14ac:dyDescent="0.25">
      <c r="B36" s="452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4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1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5">
        <f t="shared" si="2"/>
        <v>2.9049295774647987E-2</v>
      </c>
    </row>
    <row r="37" spans="2:41" x14ac:dyDescent="0.25">
      <c r="B37" s="452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4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1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5">
        <f t="shared" si="2"/>
        <v>-2.9888983774551736E-2</v>
      </c>
    </row>
    <row r="38" spans="2:41" x14ac:dyDescent="0.25">
      <c r="B38" s="452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4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1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5">
        <f t="shared" si="2"/>
        <v>5.1502145922748266E-3</v>
      </c>
    </row>
    <row r="39" spans="2:41" x14ac:dyDescent="0.25">
      <c r="B39" s="452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4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1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5">
        <f t="shared" si="2"/>
        <v>5.1444043321299704E-2</v>
      </c>
    </row>
    <row r="40" spans="2:41" x14ac:dyDescent="0.25">
      <c r="B40" s="452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4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1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5">
        <f t="shared" si="2"/>
        <v>-2.9772329246935181E-2</v>
      </c>
    </row>
    <row r="41" spans="2:41" x14ac:dyDescent="0.25">
      <c r="B41" s="452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4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1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5">
        <f t="shared" si="2"/>
        <v>2.8828828828828756E-2</v>
      </c>
      <c r="AL41" s="231"/>
      <c r="AO41" s="231"/>
    </row>
    <row r="42" spans="2:41" ht="20.25" thickBot="1" x14ac:dyDescent="0.35">
      <c r="B42" s="452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4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69" t="s">
        <v>78</v>
      </c>
      <c r="P42" s="369"/>
      <c r="T42" s="104" t="s">
        <v>92</v>
      </c>
      <c r="U42" s="108"/>
      <c r="W42" s="121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5">
        <f t="shared" si="2"/>
        <v>-1.7985611510791255E-3</v>
      </c>
    </row>
    <row r="43" spans="2:41" ht="15.75" thickTop="1" x14ac:dyDescent="0.25">
      <c r="B43" s="452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4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15.301000000000002</v>
      </c>
      <c r="T43" s="107" t="s">
        <v>97</v>
      </c>
      <c r="U43" s="105">
        <v>10.91</v>
      </c>
      <c r="W43" s="121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5">
        <f t="shared" si="2"/>
        <v>-4.549356223175971E-2</v>
      </c>
    </row>
    <row r="44" spans="2:41" x14ac:dyDescent="0.25">
      <c r="B44" s="452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4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15.161900000000001</v>
      </c>
      <c r="T44" s="107" t="s">
        <v>98</v>
      </c>
      <c r="U44" s="105">
        <v>10.95</v>
      </c>
      <c r="W44" s="121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5">
        <f t="shared" si="2"/>
        <v>1.2163336229365829E-2</v>
      </c>
    </row>
    <row r="45" spans="2:41" x14ac:dyDescent="0.25">
      <c r="B45" s="452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4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15.022800000000002</v>
      </c>
      <c r="Q45" s="2"/>
      <c r="T45" s="107" t="s">
        <v>99</v>
      </c>
      <c r="U45" s="105" t="s">
        <v>128</v>
      </c>
      <c r="W45" s="121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5">
        <f t="shared" si="2"/>
        <v>3.4873583260679464E-3</v>
      </c>
      <c r="AL45" s="231"/>
      <c r="AO45" s="231"/>
    </row>
    <row r="46" spans="2:41" x14ac:dyDescent="0.25">
      <c r="B46" s="452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4">
        <v>42361</v>
      </c>
      <c r="H46" s="81"/>
      <c r="I46" s="78"/>
      <c r="J46" s="44"/>
      <c r="K46" s="44"/>
      <c r="O46" s="82">
        <v>1.07</v>
      </c>
      <c r="P46" s="82">
        <f t="shared" si="7"/>
        <v>14.883700000000001</v>
      </c>
      <c r="Q46" s="2"/>
      <c r="T46" s="107" t="s">
        <v>100</v>
      </c>
      <c r="U46" s="105" t="s">
        <v>128</v>
      </c>
      <c r="W46" s="121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5">
        <f t="shared" si="2"/>
        <v>-2.7966101694915313E-2</v>
      </c>
    </row>
    <row r="47" spans="2:41" x14ac:dyDescent="0.25">
      <c r="B47" s="71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4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14.7446</v>
      </c>
      <c r="Q47" s="2"/>
      <c r="T47" s="107" t="s">
        <v>101</v>
      </c>
      <c r="U47" s="105">
        <v>14.93</v>
      </c>
      <c r="W47" s="121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5">
        <f t="shared" si="2"/>
        <v>2.1645021645021689E-2</v>
      </c>
    </row>
    <row r="48" spans="2:41" x14ac:dyDescent="0.25">
      <c r="B48" s="71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2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14.605500000000001</v>
      </c>
      <c r="Q48" s="2"/>
      <c r="T48" s="107" t="s">
        <v>102</v>
      </c>
      <c r="U48" s="105">
        <v>1.21851</v>
      </c>
      <c r="W48" s="121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5">
        <f t="shared" si="2"/>
        <v>-1.869158878504662E-2</v>
      </c>
    </row>
    <row r="49" spans="2:42" x14ac:dyDescent="0.25">
      <c r="B49" s="452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2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14.4664</v>
      </c>
      <c r="Q49" s="2"/>
      <c r="T49" s="107" t="s">
        <v>103</v>
      </c>
      <c r="U49" s="105" t="s">
        <v>650</v>
      </c>
      <c r="W49" s="121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5">
        <f t="shared" si="2"/>
        <v>0</v>
      </c>
    </row>
    <row r="50" spans="2:42" x14ac:dyDescent="0.25">
      <c r="B50" s="452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2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14.327300000000001</v>
      </c>
      <c r="Q50" s="2"/>
      <c r="T50" s="107"/>
      <c r="U50" s="105"/>
      <c r="W50" s="121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5">
        <f t="shared" si="2"/>
        <v>-3.3869602032177148E-3</v>
      </c>
    </row>
    <row r="51" spans="2:42" x14ac:dyDescent="0.25">
      <c r="B51" s="452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2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14.1882</v>
      </c>
      <c r="Q51" s="2"/>
      <c r="T51" s="107" t="s">
        <v>104</v>
      </c>
      <c r="U51" s="105" t="s">
        <v>651</v>
      </c>
      <c r="W51" s="121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5">
        <f t="shared" si="2"/>
        <v>-2.5337837837837718E-3</v>
      </c>
    </row>
    <row r="52" spans="2:42" x14ac:dyDescent="0.25">
      <c r="B52" s="452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2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14.049100000000001</v>
      </c>
      <c r="Q52" s="2"/>
      <c r="T52" s="107" t="s">
        <v>105</v>
      </c>
      <c r="U52" s="105" t="s">
        <v>542</v>
      </c>
      <c r="W52" s="121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5">
        <f t="shared" si="2"/>
        <v>1.1101622544833489E-2</v>
      </c>
    </row>
    <row r="53" spans="2:42" x14ac:dyDescent="0.25">
      <c r="B53" s="452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2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13.91</v>
      </c>
      <c r="Q53" s="2"/>
      <c r="T53" s="107" t="s">
        <v>106</v>
      </c>
      <c r="U53" s="106">
        <v>7248313</v>
      </c>
      <c r="W53" s="121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5">
        <f t="shared" si="2"/>
        <v>-2.9826014913007404E-2</v>
      </c>
      <c r="AL53" s="231"/>
      <c r="AO53" s="231"/>
    </row>
    <row r="54" spans="2:42" x14ac:dyDescent="0.25">
      <c r="B54" s="452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2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13.770899999999999</v>
      </c>
      <c r="Q54" s="2"/>
      <c r="T54" s="107" t="s">
        <v>109</v>
      </c>
      <c r="U54" s="106">
        <v>3905370</v>
      </c>
      <c r="W54" s="121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5">
        <f t="shared" si="2"/>
        <v>-9.8441345365052335E-3</v>
      </c>
    </row>
    <row r="55" spans="2:42" x14ac:dyDescent="0.25">
      <c r="B55" s="452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2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13.6318</v>
      </c>
      <c r="T55" s="107" t="s">
        <v>107</v>
      </c>
      <c r="U55" s="105" t="s">
        <v>652</v>
      </c>
      <c r="W55" s="121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5">
        <f t="shared" si="2"/>
        <v>-8.1967213114753079E-4</v>
      </c>
    </row>
    <row r="56" spans="2:42" x14ac:dyDescent="0.25">
      <c r="B56" s="452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2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13.492699999999999</v>
      </c>
      <c r="T56" s="107" t="s">
        <v>110</v>
      </c>
      <c r="U56" s="105">
        <v>42.38</v>
      </c>
      <c r="W56" s="121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5">
        <f t="shared" si="2"/>
        <v>-1.6921837228041969E-2</v>
      </c>
    </row>
    <row r="57" spans="2:42" x14ac:dyDescent="0.25">
      <c r="B57" s="452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2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13.3536</v>
      </c>
      <c r="T57" s="107" t="s">
        <v>111</v>
      </c>
      <c r="U57" s="105">
        <v>0.26</v>
      </c>
      <c r="W57" s="121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5">
        <f t="shared" si="2"/>
        <v>1.4717906786590351E-2</v>
      </c>
      <c r="AL57" s="231"/>
      <c r="AO57" s="231"/>
    </row>
    <row r="58" spans="2:42" x14ac:dyDescent="0.25">
      <c r="B58" s="452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2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13.214499999999999</v>
      </c>
      <c r="T58" s="107" t="s">
        <v>108</v>
      </c>
      <c r="U58" s="105" t="s">
        <v>122</v>
      </c>
      <c r="W58" s="121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5">
        <f t="shared" si="2"/>
        <v>8.2440230832645511E-3</v>
      </c>
    </row>
    <row r="59" spans="2:42" x14ac:dyDescent="0.25">
      <c r="B59" s="452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1"/>
      <c r="H59" s="7"/>
      <c r="I59" s="78"/>
      <c r="J59" s="44"/>
      <c r="K59" s="44"/>
      <c r="O59" s="82">
        <v>0.94</v>
      </c>
      <c r="P59" s="82">
        <f t="shared" si="7"/>
        <v>13.0754</v>
      </c>
      <c r="W59" s="121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5">
        <f t="shared" si="2"/>
        <v>8.2508250825097385E-4</v>
      </c>
      <c r="AL59" s="231"/>
    </row>
    <row r="60" spans="2:42" x14ac:dyDescent="0.25">
      <c r="B60" s="452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2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12.936300000000001</v>
      </c>
      <c r="W60" s="121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5">
        <f t="shared" si="2"/>
        <v>2.2784810126582178E-2</v>
      </c>
    </row>
    <row r="61" spans="2:42" x14ac:dyDescent="0.25">
      <c r="B61" s="452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2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12.7972</v>
      </c>
      <c r="W61" s="121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5">
        <f t="shared" si="2"/>
        <v>1.6906170752324368E-3</v>
      </c>
      <c r="AL61" s="231"/>
      <c r="AO61" s="231"/>
    </row>
    <row r="62" spans="2:42" x14ac:dyDescent="0.25">
      <c r="B62" s="452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2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12.658100000000001</v>
      </c>
      <c r="W62" s="121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5">
        <f t="shared" si="2"/>
        <v>-1.988400994200501E-2</v>
      </c>
    </row>
    <row r="63" spans="2:42" x14ac:dyDescent="0.25">
      <c r="B63" s="452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2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12.519</v>
      </c>
      <c r="W63" s="121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5">
        <f t="shared" si="2"/>
        <v>3.5162950257289882E-2</v>
      </c>
      <c r="AL63" s="231"/>
      <c r="AO63" s="231"/>
      <c r="AP63" s="231"/>
    </row>
    <row r="64" spans="2:42" ht="15" customHeight="1" x14ac:dyDescent="0.25">
      <c r="B64" s="452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2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1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5">
        <f t="shared" si="2"/>
        <v>-3.4188034188032956E-3</v>
      </c>
    </row>
    <row r="65" spans="1:41" ht="16.5" customHeight="1" x14ac:dyDescent="0.25">
      <c r="A65" s="568"/>
      <c r="B65" s="452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2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1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5">
        <f t="shared" si="2"/>
        <v>2.1834061135371119E-2</v>
      </c>
      <c r="AL65" s="231"/>
      <c r="AO65" s="231"/>
    </row>
    <row r="66" spans="1:41" x14ac:dyDescent="0.25">
      <c r="A66" s="568"/>
      <c r="B66" s="452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2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1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5">
        <f t="shared" si="2"/>
        <v>1.7497812773403787E-3</v>
      </c>
    </row>
    <row r="67" spans="1:41" ht="17.25" customHeight="1" x14ac:dyDescent="0.25">
      <c r="A67" s="568"/>
      <c r="B67" s="452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2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1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5" t="e">
        <f>AC67/AC68-1</f>
        <v>#DIV/0!</v>
      </c>
      <c r="AL67" s="231"/>
    </row>
    <row r="68" spans="1:41" ht="18" customHeight="1" x14ac:dyDescent="0.25">
      <c r="A68" s="587"/>
      <c r="B68" s="452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2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1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5" t="e">
        <f>AC68/AC69-1</f>
        <v>#DIV/0!</v>
      </c>
    </row>
    <row r="69" spans="1:41" x14ac:dyDescent="0.25">
      <c r="A69" s="587"/>
      <c r="B69" s="452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2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7"/>
      <c r="B70" s="452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2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7"/>
      <c r="B71" s="452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2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7"/>
      <c r="B72" s="452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2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7"/>
      <c r="B73" s="452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2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527</v>
      </c>
    </row>
    <row r="74" spans="1:41" x14ac:dyDescent="0.25">
      <c r="B74" s="452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2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528</v>
      </c>
    </row>
    <row r="75" spans="1:41" x14ac:dyDescent="0.25">
      <c r="B75" s="452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2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2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2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2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2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2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2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2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2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2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2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2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2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2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2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2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2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2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2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2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2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8"/>
    </row>
    <row r="86" spans="2:21" ht="15" customHeight="1" x14ac:dyDescent="0.25">
      <c r="B86" s="452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2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8"/>
      <c r="Q86" s="1"/>
      <c r="R86" s="2"/>
    </row>
    <row r="87" spans="2:21" x14ac:dyDescent="0.25">
      <c r="B87" s="452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2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7"/>
    </row>
    <row r="88" spans="2:21" x14ac:dyDescent="0.25">
      <c r="B88" s="452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2">
        <v>42733</v>
      </c>
      <c r="H88" s="182">
        <v>1000</v>
      </c>
      <c r="I88" s="79">
        <v>11.63</v>
      </c>
      <c r="J88" s="2">
        <v>0.25</v>
      </c>
      <c r="K88" s="2">
        <f t="shared" si="9"/>
        <v>11629.75</v>
      </c>
      <c r="M88" s="497"/>
    </row>
    <row r="89" spans="2:21" ht="15" customHeight="1" x14ac:dyDescent="0.25">
      <c r="B89" s="452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2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2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2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2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2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2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2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2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2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2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2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2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2">
        <v>42823</v>
      </c>
      <c r="H95" s="4">
        <v>200</v>
      </c>
      <c r="I95" s="237">
        <v>10.94</v>
      </c>
      <c r="J95" s="3">
        <v>0.05</v>
      </c>
      <c r="K95" s="3">
        <f t="shared" si="13"/>
        <v>2187.9499999999998</v>
      </c>
    </row>
    <row r="96" spans="2:21" x14ac:dyDescent="0.25">
      <c r="B96" s="598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2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2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2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19"/>
      <c r="B98" s="452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2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19"/>
      <c r="B99" s="452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2">
        <v>42864</v>
      </c>
      <c r="H99" s="4">
        <v>300</v>
      </c>
      <c r="I99" s="237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2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2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2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2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2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2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2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2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2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2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2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2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2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496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7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1" t="s">
        <v>195</v>
      </c>
      <c r="B119" s="352"/>
      <c r="C119" s="353">
        <f>SumByColor($A$119,C2:C117)</f>
        <v>38705</v>
      </c>
      <c r="D119" s="353"/>
      <c r="E119" s="353"/>
      <c r="F119" s="354">
        <f>SumByColor($A$119,F2:F117)</f>
        <v>526268</v>
      </c>
      <c r="G119" s="353"/>
      <c r="H119" s="353">
        <f>SumByColor($A$119,H2:H117)</f>
        <v>38905</v>
      </c>
      <c r="I119" s="353"/>
      <c r="J119" s="353"/>
      <c r="K119" s="354">
        <f>SumByColor($A$119,K2:K117)</f>
        <v>528865</v>
      </c>
      <c r="L119" s="353"/>
      <c r="M119" s="354">
        <f>SumByColor($A$119,M2:M117)</f>
        <v>0</v>
      </c>
    </row>
    <row r="123" spans="1:13" x14ac:dyDescent="0.25">
      <c r="B123" s="188" t="s">
        <v>113</v>
      </c>
      <c r="C123" s="188" t="s">
        <v>146</v>
      </c>
      <c r="D123" s="196" t="s">
        <v>145</v>
      </c>
      <c r="E123" s="192" t="s">
        <v>147</v>
      </c>
      <c r="F123" s="192" t="s">
        <v>65</v>
      </c>
      <c r="G123" s="226" t="s">
        <v>151</v>
      </c>
      <c r="H123" s="192" t="s">
        <v>88</v>
      </c>
      <c r="I123" s="238" t="s">
        <v>151</v>
      </c>
      <c r="J123" s="40"/>
      <c r="K123" s="40"/>
    </row>
    <row r="124" spans="1:13" x14ac:dyDescent="0.25">
      <c r="B124" s="190">
        <v>42304</v>
      </c>
      <c r="C124" s="10">
        <v>5530</v>
      </c>
      <c r="D124" s="197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29">
        <f>IF(C124=0, D124, (E124-D124)/D124)</f>
        <v>-0.16082711085583001</v>
      </c>
      <c r="I124" s="197"/>
      <c r="J124" s="40"/>
      <c r="K124" s="40"/>
    </row>
    <row r="125" spans="1:13" x14ac:dyDescent="0.25">
      <c r="B125" s="190">
        <v>42306</v>
      </c>
      <c r="C125" s="10">
        <v>5530</v>
      </c>
      <c r="D125" s="197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29">
        <f t="shared" ref="H125:H166" si="16">IF(C125=0, D125, (E125-D125)/D125)</f>
        <v>-0.14187248707639291</v>
      </c>
      <c r="I125" s="197"/>
      <c r="J125" s="40"/>
      <c r="K125" s="40"/>
    </row>
    <row r="126" spans="1:13" x14ac:dyDescent="0.25">
      <c r="B126" s="190">
        <v>42307</v>
      </c>
      <c r="C126" s="10">
        <v>5730</v>
      </c>
      <c r="D126" s="197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29">
        <f t="shared" si="16"/>
        <v>-0.10502019619157522</v>
      </c>
      <c r="I126" s="197"/>
      <c r="J126" s="40"/>
      <c r="K126" s="40"/>
    </row>
    <row r="127" spans="1:13" x14ac:dyDescent="0.25">
      <c r="B127" s="190">
        <v>42313</v>
      </c>
      <c r="C127" s="10">
        <v>6000</v>
      </c>
      <c r="D127" s="197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29">
        <f t="shared" si="16"/>
        <v>-0.13588850174216019</v>
      </c>
      <c r="I127" s="197"/>
      <c r="J127" s="40"/>
      <c r="K127" s="40"/>
    </row>
    <row r="128" spans="1:13" x14ac:dyDescent="0.25">
      <c r="B128" s="190">
        <v>42314</v>
      </c>
      <c r="C128" s="10">
        <v>7006</v>
      </c>
      <c r="D128" s="197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29">
        <f t="shared" si="16"/>
        <v>-0.14319667260843724</v>
      </c>
      <c r="I128" s="197"/>
      <c r="J128" s="40"/>
      <c r="K128" s="40"/>
    </row>
    <row r="129" spans="2:11" x14ac:dyDescent="0.25">
      <c r="B129" s="190">
        <v>42324</v>
      </c>
      <c r="C129" s="10">
        <v>6000</v>
      </c>
      <c r="D129" s="197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29">
        <f t="shared" si="16"/>
        <v>-0.13154831199068684</v>
      </c>
      <c r="I129" s="197"/>
      <c r="J129" s="40"/>
      <c r="K129" s="40"/>
    </row>
    <row r="130" spans="2:11" x14ac:dyDescent="0.25">
      <c r="B130" s="190">
        <v>42325</v>
      </c>
      <c r="C130" s="10">
        <v>7000</v>
      </c>
      <c r="D130" s="197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29">
        <f t="shared" si="16"/>
        <v>-0.14353782013103028</v>
      </c>
      <c r="I130" s="197"/>
      <c r="J130" s="40"/>
      <c r="K130" s="40"/>
    </row>
    <row r="131" spans="2:11" x14ac:dyDescent="0.25">
      <c r="B131" s="190">
        <v>42326</v>
      </c>
      <c r="C131" s="10">
        <v>6000</v>
      </c>
      <c r="D131" s="197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29">
        <f t="shared" si="16"/>
        <v>-0.14627039627039626</v>
      </c>
      <c r="I131" s="197"/>
      <c r="J131" s="40"/>
      <c r="K131" s="40"/>
    </row>
    <row r="132" spans="2:11" x14ac:dyDescent="0.25">
      <c r="B132" s="190">
        <v>42335</v>
      </c>
      <c r="C132" s="10">
        <v>6100</v>
      </c>
      <c r="D132" s="197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29">
        <f t="shared" si="16"/>
        <v>-0.15429573348918754</v>
      </c>
      <c r="I132" s="197"/>
      <c r="J132" s="40"/>
      <c r="K132" s="40"/>
    </row>
    <row r="133" spans="2:11" x14ac:dyDescent="0.25">
      <c r="B133" s="190">
        <v>42335</v>
      </c>
      <c r="C133" s="10">
        <v>7000</v>
      </c>
      <c r="D133" s="197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29">
        <f t="shared" si="16"/>
        <v>-0.1371496720333929</v>
      </c>
      <c r="I133" s="197"/>
      <c r="J133" s="40"/>
      <c r="K133" s="40"/>
    </row>
    <row r="134" spans="2:11" x14ac:dyDescent="0.25">
      <c r="B134" s="190">
        <v>42338</v>
      </c>
      <c r="C134" s="10">
        <v>6000</v>
      </c>
      <c r="D134" s="197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29">
        <f t="shared" si="16"/>
        <v>-0.13567251461988314</v>
      </c>
      <c r="I134" s="197"/>
      <c r="J134" s="40"/>
      <c r="K134" s="40"/>
    </row>
    <row r="135" spans="2:11" x14ac:dyDescent="0.25">
      <c r="B135" s="190">
        <v>42338</v>
      </c>
      <c r="C135" s="10">
        <v>5900</v>
      </c>
      <c r="D135" s="197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29">
        <f t="shared" si="16"/>
        <v>-0.13768961493582271</v>
      </c>
      <c r="I135" s="197"/>
      <c r="J135" s="40"/>
      <c r="K135" s="40"/>
    </row>
    <row r="136" spans="2:11" x14ac:dyDescent="0.25">
      <c r="B136" s="190">
        <v>42340</v>
      </c>
      <c r="C136" s="10">
        <v>7000</v>
      </c>
      <c r="D136" s="197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29">
        <f t="shared" si="16"/>
        <v>-0.16616676664667074</v>
      </c>
      <c r="I136" s="197"/>
      <c r="J136" s="40"/>
      <c r="K136" s="40"/>
    </row>
    <row r="137" spans="2:11" x14ac:dyDescent="0.25">
      <c r="B137" s="190">
        <v>42340</v>
      </c>
      <c r="C137" s="10">
        <v>7500</v>
      </c>
      <c r="D137" s="197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29">
        <f t="shared" si="16"/>
        <v>-0.15808600847970933</v>
      </c>
      <c r="I137" s="197"/>
      <c r="J137" s="40"/>
      <c r="K137" s="40"/>
    </row>
    <row r="138" spans="2:11" x14ac:dyDescent="0.25">
      <c r="B138" s="190">
        <v>42344</v>
      </c>
      <c r="C138" s="10">
        <v>7500</v>
      </c>
      <c r="D138" s="197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29">
        <f t="shared" si="16"/>
        <v>-0.20351302241066027</v>
      </c>
      <c r="I138" s="197"/>
      <c r="J138" s="40"/>
      <c r="K138" s="40"/>
    </row>
    <row r="139" spans="2:11" x14ac:dyDescent="0.25">
      <c r="B139" s="190">
        <v>42349</v>
      </c>
      <c r="C139" s="10">
        <v>8000</v>
      </c>
      <c r="D139" s="197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29">
        <f t="shared" si="16"/>
        <v>-0.23308733087330877</v>
      </c>
      <c r="I139" s="197"/>
      <c r="J139" s="40"/>
      <c r="K139" s="40"/>
    </row>
    <row r="140" spans="2:11" x14ac:dyDescent="0.25">
      <c r="B140" s="190">
        <v>42356</v>
      </c>
      <c r="C140" s="10">
        <v>7500</v>
      </c>
      <c r="D140" s="197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29">
        <f t="shared" si="16"/>
        <v>-0.23682616596002432</v>
      </c>
      <c r="I140" s="197"/>
      <c r="J140" s="40"/>
      <c r="K140" s="40"/>
    </row>
    <row r="141" spans="2:11" x14ac:dyDescent="0.25">
      <c r="B141" s="190">
        <v>42356</v>
      </c>
      <c r="C141" s="279">
        <v>4500</v>
      </c>
      <c r="D141" s="280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29">
        <f t="shared" si="16"/>
        <v>-0.32494758909853239</v>
      </c>
      <c r="I141" s="197"/>
      <c r="J141" s="40"/>
      <c r="K141" s="40"/>
    </row>
    <row r="142" spans="2:11" x14ac:dyDescent="0.25">
      <c r="B142" s="190">
        <v>42397</v>
      </c>
      <c r="C142" s="421">
        <v>2000</v>
      </c>
      <c r="D142" s="209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29">
        <f t="shared" si="16"/>
        <v>-0.41404451266308517</v>
      </c>
      <c r="I142" s="197"/>
      <c r="J142" s="40"/>
      <c r="K142" s="40"/>
    </row>
    <row r="143" spans="2:11" x14ac:dyDescent="0.25">
      <c r="B143" s="190">
        <v>42398</v>
      </c>
      <c r="C143" s="279">
        <v>1800</v>
      </c>
      <c r="D143" s="280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29">
        <f t="shared" si="16"/>
        <v>-0.43983859134262659</v>
      </c>
      <c r="I143" s="197"/>
      <c r="J143" s="40"/>
      <c r="K143" s="40"/>
    </row>
    <row r="144" spans="2:11" x14ac:dyDescent="0.25">
      <c r="B144" s="190">
        <v>42402</v>
      </c>
      <c r="C144" s="279">
        <v>2000</v>
      </c>
      <c r="D144" s="280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29">
        <f t="shared" si="16"/>
        <v>-0.41615384615384615</v>
      </c>
      <c r="I144" s="197"/>
      <c r="J144" s="40"/>
      <c r="K144" s="40"/>
    </row>
    <row r="145" spans="2:11" x14ac:dyDescent="0.25">
      <c r="B145" s="190">
        <v>42412</v>
      </c>
      <c r="C145" s="279">
        <v>2200</v>
      </c>
      <c r="D145" s="280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29">
        <f t="shared" si="16"/>
        <v>-0.50101010101010102</v>
      </c>
      <c r="I145" s="197"/>
      <c r="J145" s="40"/>
      <c r="K145" s="40"/>
    </row>
    <row r="146" spans="2:11" x14ac:dyDescent="0.25">
      <c r="B146" s="190">
        <v>42416</v>
      </c>
      <c r="C146" s="279">
        <v>2000</v>
      </c>
      <c r="D146" s="280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29">
        <f t="shared" si="16"/>
        <v>-0.52426810477657937</v>
      </c>
      <c r="I146" s="197"/>
      <c r="J146" s="40"/>
      <c r="K146" s="40"/>
    </row>
    <row r="147" spans="2:11" x14ac:dyDescent="0.25">
      <c r="B147" s="190">
        <v>42416</v>
      </c>
      <c r="C147" s="279">
        <v>1750</v>
      </c>
      <c r="D147" s="280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29">
        <f t="shared" si="16"/>
        <v>-0.53649766271125487</v>
      </c>
      <c r="I147" s="197"/>
      <c r="J147" s="40"/>
      <c r="K147" s="40"/>
    </row>
    <row r="148" spans="2:11" x14ac:dyDescent="0.25">
      <c r="B148" s="190">
        <v>42416</v>
      </c>
      <c r="C148" s="279">
        <v>2000</v>
      </c>
      <c r="D148" s="280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29">
        <f t="shared" si="16"/>
        <v>-0.50131031293355943</v>
      </c>
      <c r="I148" s="197"/>
      <c r="J148" s="40"/>
      <c r="K148" s="40"/>
    </row>
    <row r="149" spans="2:11" x14ac:dyDescent="0.25">
      <c r="B149" s="190">
        <v>42426</v>
      </c>
      <c r="C149" s="279">
        <v>2000</v>
      </c>
      <c r="D149" s="280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29">
        <f t="shared" si="16"/>
        <v>-0.52267026818444917</v>
      </c>
      <c r="I149" s="197"/>
      <c r="J149" s="40"/>
      <c r="K149" s="40"/>
    </row>
    <row r="150" spans="2:11" x14ac:dyDescent="0.25">
      <c r="B150" s="190">
        <v>42430</v>
      </c>
      <c r="C150" s="279">
        <v>2000</v>
      </c>
      <c r="D150" s="280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29">
        <f t="shared" si="16"/>
        <v>-0.50530580744742426</v>
      </c>
      <c r="I150" s="197">
        <v>25.5</v>
      </c>
      <c r="J150" s="40"/>
      <c r="K150" s="40"/>
    </row>
    <row r="151" spans="2:11" x14ac:dyDescent="0.25">
      <c r="B151" s="190">
        <v>42431</v>
      </c>
      <c r="C151" s="435">
        <v>1500</v>
      </c>
      <c r="D151" s="585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29">
        <f t="shared" si="16"/>
        <v>-0.55868201878090051</v>
      </c>
      <c r="I151" s="197"/>
      <c r="J151" s="40"/>
      <c r="K151" s="40"/>
    </row>
    <row r="152" spans="2:11" x14ac:dyDescent="0.25">
      <c r="B152" s="190">
        <v>42444</v>
      </c>
      <c r="C152" s="279">
        <v>1500</v>
      </c>
      <c r="D152" s="280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29">
        <f t="shared" si="16"/>
        <v>-0.52616385174370384</v>
      </c>
      <c r="I152" s="197"/>
      <c r="J152" s="40"/>
      <c r="K152" s="40"/>
    </row>
    <row r="153" spans="2:11" x14ac:dyDescent="0.25">
      <c r="B153" s="190">
        <v>42447</v>
      </c>
      <c r="C153" s="279">
        <v>1500</v>
      </c>
      <c r="D153" s="280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29">
        <f t="shared" si="16"/>
        <v>-0.50293658957427745</v>
      </c>
      <c r="I153" s="197"/>
      <c r="J153" s="40"/>
      <c r="K153" s="40"/>
    </row>
    <row r="154" spans="2:11" x14ac:dyDescent="0.25">
      <c r="B154" s="190">
        <v>42480</v>
      </c>
      <c r="C154" s="279">
        <v>1500</v>
      </c>
      <c r="D154" s="280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29">
        <f t="shared" si="16"/>
        <v>-0.48653142667110078</v>
      </c>
      <c r="I154" s="197"/>
      <c r="J154" s="40"/>
      <c r="K154" s="40"/>
    </row>
    <row r="155" spans="2:11" x14ac:dyDescent="0.25">
      <c r="B155" s="190">
        <v>42488</v>
      </c>
      <c r="C155" s="279">
        <v>1500</v>
      </c>
      <c r="D155" s="280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29">
        <f t="shared" si="16"/>
        <v>-0.4822017248842862</v>
      </c>
      <c r="I155" s="197"/>
      <c r="J155" s="40"/>
      <c r="K155" s="40"/>
    </row>
    <row r="156" spans="2:11" x14ac:dyDescent="0.25">
      <c r="B156" s="190">
        <v>42494</v>
      </c>
      <c r="C156" s="279">
        <v>1500</v>
      </c>
      <c r="D156" s="280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29">
        <f t="shared" si="16"/>
        <v>-0.49985015483999867</v>
      </c>
      <c r="I156" s="197"/>
      <c r="J156" s="40"/>
      <c r="K156" s="40"/>
    </row>
    <row r="157" spans="2:11" x14ac:dyDescent="0.25">
      <c r="B157" s="190">
        <v>42517</v>
      </c>
      <c r="C157" s="279">
        <v>1500</v>
      </c>
      <c r="D157" s="280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29">
        <f t="shared" si="16"/>
        <v>-0.50905941913136155</v>
      </c>
      <c r="I157" s="197"/>
      <c r="J157" s="40"/>
      <c r="K157" s="40"/>
    </row>
    <row r="158" spans="2:11" x14ac:dyDescent="0.25">
      <c r="B158" s="190">
        <v>42522</v>
      </c>
      <c r="C158" s="279">
        <v>1500</v>
      </c>
      <c r="D158" s="280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29">
        <f t="shared" si="16"/>
        <v>-0.49773514521715961</v>
      </c>
      <c r="I158" s="197"/>
      <c r="J158" s="40"/>
      <c r="K158" s="40"/>
    </row>
    <row r="159" spans="2:11" x14ac:dyDescent="0.25">
      <c r="B159" s="190">
        <v>42530</v>
      </c>
      <c r="C159" s="279">
        <v>1520</v>
      </c>
      <c r="D159" s="280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29">
        <f t="shared" si="16"/>
        <v>-0.47118644067796611</v>
      </c>
      <c r="I159" s="197"/>
      <c r="J159" s="40"/>
      <c r="K159" s="40"/>
    </row>
    <row r="160" spans="2:11" x14ac:dyDescent="0.25">
      <c r="B160" s="190">
        <v>42534</v>
      </c>
      <c r="C160" s="279">
        <v>1520</v>
      </c>
      <c r="D160" s="280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29">
        <f t="shared" si="16"/>
        <v>-0.51694915254237284</v>
      </c>
      <c r="I160" s="197"/>
      <c r="J160" s="40"/>
      <c r="K160" s="40"/>
    </row>
    <row r="161" spans="2:11" x14ac:dyDescent="0.25">
      <c r="B161" s="190">
        <v>42535</v>
      </c>
      <c r="C161" s="279">
        <v>2000</v>
      </c>
      <c r="D161" s="280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29">
        <f t="shared" si="16"/>
        <v>-0.46134740763737969</v>
      </c>
      <c r="I161" s="197"/>
      <c r="J161" s="40"/>
      <c r="K161" s="40"/>
    </row>
    <row r="162" spans="2:11" x14ac:dyDescent="0.25">
      <c r="B162" s="190">
        <v>42538</v>
      </c>
      <c r="C162" s="279">
        <v>1520</v>
      </c>
      <c r="D162" s="280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29">
        <f t="shared" si="16"/>
        <v>-0.5161071088759005</v>
      </c>
      <c r="I162" s="197"/>
      <c r="J162" s="40"/>
      <c r="K162" s="40"/>
    </row>
    <row r="163" spans="2:11" x14ac:dyDescent="0.25">
      <c r="B163" s="190">
        <v>42543</v>
      </c>
      <c r="C163" s="279">
        <v>2000</v>
      </c>
      <c r="D163" s="280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29">
        <f t="shared" si="16"/>
        <v>-0.46334059775840603</v>
      </c>
      <c r="I163" s="197"/>
      <c r="J163" s="40"/>
      <c r="K163" s="40"/>
    </row>
    <row r="164" spans="2:11" x14ac:dyDescent="0.25">
      <c r="B164" s="190">
        <v>42544</v>
      </c>
      <c r="C164" s="279">
        <v>1520</v>
      </c>
      <c r="D164" s="280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29">
        <f t="shared" si="16"/>
        <v>-0.51668427690105323</v>
      </c>
      <c r="I164" s="197"/>
      <c r="J164" s="40"/>
      <c r="K164" s="40"/>
    </row>
    <row r="165" spans="2:11" x14ac:dyDescent="0.25">
      <c r="B165" s="190">
        <v>42545</v>
      </c>
      <c r="C165" s="421">
        <v>2000</v>
      </c>
      <c r="D165" s="209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29">
        <f t="shared" si="16"/>
        <v>-0.4662547900211152</v>
      </c>
      <c r="I165" s="197"/>
      <c r="J165" s="40"/>
      <c r="K165" s="40"/>
    </row>
    <row r="166" spans="2:11" x14ac:dyDescent="0.25">
      <c r="B166" s="190">
        <v>42548</v>
      </c>
      <c r="C166" s="279">
        <v>2000</v>
      </c>
      <c r="D166" s="280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29">
        <f t="shared" si="16"/>
        <v>-0.47563932118557911</v>
      </c>
      <c r="I166" s="197"/>
      <c r="J166" s="40"/>
      <c r="K166" s="40"/>
    </row>
    <row r="167" spans="2:11" x14ac:dyDescent="0.25">
      <c r="B167" s="190">
        <v>42549</v>
      </c>
      <c r="C167" s="279">
        <v>2000</v>
      </c>
      <c r="D167" s="280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29">
        <f t="shared" ref="H167:H204" si="19">IF(C167=0, D167, (E167-D167)/D167)</f>
        <v>-0.44396652850551344</v>
      </c>
      <c r="I167" s="197"/>
      <c r="J167" s="40"/>
      <c r="K167" s="40"/>
    </row>
    <row r="168" spans="2:11" x14ac:dyDescent="0.25">
      <c r="B168" s="190">
        <v>42550</v>
      </c>
      <c r="C168" s="279">
        <v>1520</v>
      </c>
      <c r="D168" s="280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29">
        <f t="shared" si="19"/>
        <v>-0.49701590368096038</v>
      </c>
      <c r="I168" s="197"/>
      <c r="J168" s="40"/>
      <c r="K168" s="40"/>
    </row>
    <row r="169" spans="2:11" x14ac:dyDescent="0.25">
      <c r="B169" s="190">
        <v>42556</v>
      </c>
      <c r="C169" s="279">
        <v>2000</v>
      </c>
      <c r="D169" s="280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29">
        <f t="shared" si="19"/>
        <v>-0.43734518145716195</v>
      </c>
      <c r="I169" s="197">
        <v>25</v>
      </c>
      <c r="J169" s="40"/>
      <c r="K169" s="40"/>
    </row>
    <row r="170" spans="2:11" x14ac:dyDescent="0.25">
      <c r="B170" s="190">
        <v>42563</v>
      </c>
      <c r="C170" s="279">
        <v>2000</v>
      </c>
      <c r="D170" s="280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29">
        <f t="shared" si="19"/>
        <v>-0.41100145480281525</v>
      </c>
      <c r="I170" s="197"/>
      <c r="J170" s="40"/>
      <c r="K170" s="40"/>
    </row>
    <row r="171" spans="2:11" x14ac:dyDescent="0.25">
      <c r="B171" s="190">
        <v>42578</v>
      </c>
      <c r="C171" s="279">
        <v>2200</v>
      </c>
      <c r="D171" s="280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29">
        <f t="shared" si="19"/>
        <v>-0.42374687487192098</v>
      </c>
      <c r="I171" s="197"/>
      <c r="J171" s="40"/>
      <c r="K171" s="40"/>
    </row>
    <row r="172" spans="2:11" x14ac:dyDescent="0.25">
      <c r="B172" s="190">
        <v>42580</v>
      </c>
      <c r="C172" s="279">
        <v>2700</v>
      </c>
      <c r="D172" s="280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29">
        <f t="shared" si="19"/>
        <v>-0.38633318445734705</v>
      </c>
      <c r="I172" s="197"/>
      <c r="J172" s="40"/>
      <c r="K172" s="40"/>
    </row>
    <row r="173" spans="2:11" x14ac:dyDescent="0.25">
      <c r="B173" s="190">
        <v>42580</v>
      </c>
      <c r="C173" s="279">
        <v>3000</v>
      </c>
      <c r="D173" s="280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29">
        <f t="shared" si="19"/>
        <v>-0.3603054145909958</v>
      </c>
      <c r="I173" s="197"/>
      <c r="J173" s="40"/>
      <c r="K173" s="40"/>
    </row>
    <row r="174" spans="2:11" x14ac:dyDescent="0.25">
      <c r="B174" s="190">
        <v>42580</v>
      </c>
      <c r="C174" s="279">
        <v>2000</v>
      </c>
      <c r="D174" s="280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29">
        <f t="shared" si="19"/>
        <v>-0.45805230150278076</v>
      </c>
      <c r="I174" s="197">
        <v>25</v>
      </c>
      <c r="J174" s="40"/>
      <c r="K174" s="40"/>
    </row>
    <row r="175" spans="2:11" x14ac:dyDescent="0.25">
      <c r="B175" s="190">
        <v>42585</v>
      </c>
      <c r="C175" s="421">
        <v>2000</v>
      </c>
      <c r="D175" s="209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29">
        <f t="shared" si="19"/>
        <v>-0.46949079004457073</v>
      </c>
      <c r="I175" s="197"/>
      <c r="J175" s="40"/>
      <c r="K175" s="40"/>
    </row>
    <row r="176" spans="2:11" x14ac:dyDescent="0.25">
      <c r="B176" s="190">
        <v>42586</v>
      </c>
      <c r="C176" s="279">
        <v>2500</v>
      </c>
      <c r="D176" s="280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29">
        <f t="shared" si="19"/>
        <v>-0.43367391494192647</v>
      </c>
      <c r="I176" s="197"/>
      <c r="J176" s="40"/>
      <c r="K176" s="40"/>
    </row>
    <row r="177" spans="2:11" x14ac:dyDescent="0.25">
      <c r="B177" s="190">
        <v>42590</v>
      </c>
      <c r="C177" s="436">
        <v>3000</v>
      </c>
      <c r="D177" s="495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29">
        <f t="shared" si="19"/>
        <v>-0.38805268109125124</v>
      </c>
      <c r="I177" s="197"/>
      <c r="J177" s="40"/>
      <c r="K177" s="40"/>
    </row>
    <row r="178" spans="2:11" x14ac:dyDescent="0.25">
      <c r="B178" s="190">
        <v>42591</v>
      </c>
      <c r="C178" s="279">
        <v>3500</v>
      </c>
      <c r="D178" s="280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29">
        <f t="shared" si="19"/>
        <v>-0.36757512229210337</v>
      </c>
      <c r="I178" s="197">
        <v>19.75</v>
      </c>
      <c r="J178" s="40"/>
      <c r="K178" s="40"/>
    </row>
    <row r="179" spans="2:11" x14ac:dyDescent="0.25">
      <c r="B179" s="190">
        <v>42593</v>
      </c>
      <c r="C179" s="10">
        <v>3500</v>
      </c>
      <c r="D179" s="197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29">
        <f t="shared" si="19"/>
        <v>-0.37555437643538886</v>
      </c>
      <c r="I179" s="197"/>
      <c r="J179" s="40"/>
      <c r="K179" s="40"/>
    </row>
    <row r="180" spans="2:11" x14ac:dyDescent="0.25">
      <c r="B180" s="190">
        <v>42599</v>
      </c>
      <c r="C180" s="10">
        <v>3500</v>
      </c>
      <c r="D180" s="197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29">
        <f t="shared" si="19"/>
        <v>-0.3705628047042569</v>
      </c>
      <c r="I180" s="197"/>
      <c r="J180" s="40"/>
      <c r="K180" s="40"/>
    </row>
    <row r="181" spans="2:11" x14ac:dyDescent="0.25">
      <c r="B181" s="190">
        <v>42600</v>
      </c>
      <c r="C181" s="10">
        <v>3500</v>
      </c>
      <c r="D181" s="197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29">
        <f t="shared" si="19"/>
        <v>-0.37255943339670966</v>
      </c>
      <c r="I181" s="197"/>
      <c r="J181" s="40"/>
      <c r="K181" s="40"/>
    </row>
    <row r="182" spans="2:11" x14ac:dyDescent="0.25">
      <c r="B182" s="190">
        <v>42601</v>
      </c>
      <c r="C182" s="10">
        <v>4000</v>
      </c>
      <c r="D182" s="197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29">
        <f t="shared" si="19"/>
        <v>-0.35692161629831287</v>
      </c>
      <c r="I182" s="197"/>
      <c r="J182" s="40"/>
      <c r="K182" s="40"/>
    </row>
    <row r="183" spans="2:11" x14ac:dyDescent="0.25">
      <c r="B183" s="190">
        <v>42604</v>
      </c>
      <c r="C183" s="279">
        <v>4500</v>
      </c>
      <c r="D183" s="280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29">
        <f t="shared" si="19"/>
        <v>-0.33072659361161033</v>
      </c>
      <c r="I183" s="197">
        <v>18</v>
      </c>
      <c r="J183" s="40"/>
      <c r="K183" s="40"/>
    </row>
    <row r="184" spans="2:11" x14ac:dyDescent="0.25">
      <c r="B184" s="190">
        <v>42605</v>
      </c>
      <c r="C184" s="279">
        <v>4000</v>
      </c>
      <c r="D184" s="280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29">
        <f t="shared" si="19"/>
        <v>-0.33788404174122277</v>
      </c>
      <c r="I184" s="197"/>
      <c r="J184" s="40"/>
      <c r="K184" s="40"/>
    </row>
    <row r="185" spans="2:11" x14ac:dyDescent="0.25">
      <c r="B185" s="190">
        <v>42605</v>
      </c>
      <c r="C185" s="279">
        <v>4500</v>
      </c>
      <c r="D185" s="280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29">
        <f t="shared" si="19"/>
        <v>-0.31197292993892045</v>
      </c>
      <c r="I185" s="197">
        <v>18</v>
      </c>
      <c r="J185" s="40"/>
      <c r="K185" s="40"/>
    </row>
    <row r="186" spans="2:11" x14ac:dyDescent="0.25">
      <c r="B186" s="190">
        <v>42606</v>
      </c>
      <c r="C186" s="279">
        <v>4500</v>
      </c>
      <c r="D186" s="280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29">
        <f t="shared" si="19"/>
        <v>-0.31799385099752969</v>
      </c>
      <c r="I186" s="197"/>
      <c r="J186" s="40"/>
      <c r="K186" s="40"/>
    </row>
    <row r="187" spans="2:11" x14ac:dyDescent="0.25">
      <c r="B187" s="190">
        <v>42611</v>
      </c>
      <c r="C187" s="279">
        <v>4500</v>
      </c>
      <c r="D187" s="280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29">
        <f t="shared" si="19"/>
        <v>-0.31087821701917334</v>
      </c>
      <c r="I187" s="197"/>
      <c r="J187" s="40"/>
      <c r="K187" s="40"/>
    </row>
    <row r="188" spans="2:11" x14ac:dyDescent="0.25">
      <c r="B188" s="190">
        <v>42612</v>
      </c>
      <c r="C188" s="279">
        <v>4700</v>
      </c>
      <c r="D188" s="280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29">
        <f t="shared" si="19"/>
        <v>-0.3102252300824061</v>
      </c>
      <c r="I188" s="197"/>
      <c r="J188" s="40"/>
      <c r="K188" s="40"/>
    </row>
    <row r="189" spans="2:11" x14ac:dyDescent="0.25">
      <c r="B189" s="190">
        <v>42614</v>
      </c>
      <c r="C189" s="279">
        <v>4700</v>
      </c>
      <c r="D189" s="280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29">
        <f t="shared" si="19"/>
        <v>-0.32578823858981348</v>
      </c>
      <c r="I189" s="197"/>
      <c r="J189" s="40"/>
      <c r="K189" s="40"/>
    </row>
    <row r="190" spans="2:11" x14ac:dyDescent="0.25">
      <c r="B190" s="190">
        <v>42615</v>
      </c>
      <c r="C190" s="279">
        <v>4500</v>
      </c>
      <c r="D190" s="280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29">
        <f t="shared" si="19"/>
        <v>-0.31551853310356404</v>
      </c>
      <c r="I190" s="197">
        <v>18</v>
      </c>
      <c r="J190" s="40"/>
      <c r="K190" s="40"/>
    </row>
    <row r="191" spans="2:11" x14ac:dyDescent="0.25">
      <c r="B191" s="190">
        <v>42619</v>
      </c>
      <c r="C191" s="279">
        <v>4500</v>
      </c>
      <c r="D191" s="280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29">
        <f t="shared" si="19"/>
        <v>-0.30235542797094028</v>
      </c>
      <c r="I191" s="197"/>
      <c r="J191" s="40"/>
      <c r="K191" s="40"/>
    </row>
    <row r="192" spans="2:11" x14ac:dyDescent="0.25">
      <c r="B192" s="190">
        <v>42620</v>
      </c>
      <c r="C192" s="279">
        <v>4000</v>
      </c>
      <c r="D192" s="280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29">
        <f t="shared" si="19"/>
        <v>-0.28983361362503424</v>
      </c>
      <c r="I192" s="197"/>
      <c r="J192" s="40"/>
      <c r="K192" s="40"/>
    </row>
    <row r="193" spans="2:11" x14ac:dyDescent="0.25">
      <c r="B193" s="190">
        <v>42620</v>
      </c>
      <c r="C193" s="279">
        <v>3500</v>
      </c>
      <c r="D193" s="280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29">
        <f t="shared" si="19"/>
        <v>-0.31940255513118243</v>
      </c>
      <c r="I193" s="197" t="s">
        <v>285</v>
      </c>
      <c r="J193" s="40"/>
      <c r="K193" s="40"/>
    </row>
    <row r="194" spans="2:11" x14ac:dyDescent="0.25">
      <c r="B194" s="190">
        <v>42620</v>
      </c>
      <c r="C194" s="279">
        <v>3200</v>
      </c>
      <c r="D194" s="280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29">
        <f t="shared" si="19"/>
        <v>-0.33949476763701542</v>
      </c>
      <c r="I194" s="197"/>
      <c r="J194" s="40"/>
      <c r="K194" s="40"/>
    </row>
    <row r="195" spans="2:11" x14ac:dyDescent="0.25">
      <c r="B195" s="190">
        <v>42621</v>
      </c>
      <c r="C195" s="436">
        <v>3000</v>
      </c>
      <c r="D195" s="495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29">
        <f t="shared" si="19"/>
        <v>-0.33223001929595075</v>
      </c>
      <c r="I195" s="197"/>
      <c r="J195" s="40"/>
      <c r="K195" s="40"/>
    </row>
    <row r="196" spans="2:11" x14ac:dyDescent="0.25">
      <c r="B196" s="190">
        <v>42622</v>
      </c>
      <c r="C196" s="279">
        <v>3200</v>
      </c>
      <c r="D196" s="280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29">
        <f t="shared" si="19"/>
        <v>-0.33972844114812351</v>
      </c>
      <c r="I196" s="197"/>
      <c r="J196" s="40"/>
      <c r="K196" s="40"/>
    </row>
    <row r="197" spans="2:11" x14ac:dyDescent="0.25">
      <c r="B197" s="190">
        <v>42625</v>
      </c>
      <c r="C197" s="279">
        <v>3200</v>
      </c>
      <c r="D197" s="280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29">
        <f t="shared" si="19"/>
        <v>-0.3288881618236898</v>
      </c>
      <c r="I197" s="197"/>
      <c r="J197" s="40"/>
      <c r="K197" s="40"/>
    </row>
    <row r="198" spans="2:11" x14ac:dyDescent="0.25">
      <c r="B198" s="190">
        <v>42627</v>
      </c>
      <c r="C198" s="279">
        <v>3500</v>
      </c>
      <c r="D198" s="280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29">
        <f t="shared" si="19"/>
        <v>-0.34322180483258513</v>
      </c>
      <c r="I198" s="197">
        <v>19.5</v>
      </c>
      <c r="J198" s="40"/>
      <c r="K198" s="40"/>
    </row>
    <row r="199" spans="2:11" x14ac:dyDescent="0.25">
      <c r="B199" s="190">
        <v>42628</v>
      </c>
      <c r="C199" s="279">
        <v>3500</v>
      </c>
      <c r="D199" s="280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29">
        <f t="shared" si="19"/>
        <v>-0.33253834852079917</v>
      </c>
      <c r="I199" s="197"/>
      <c r="J199" s="40"/>
      <c r="K199" s="40"/>
    </row>
    <row r="200" spans="2:11" x14ac:dyDescent="0.25">
      <c r="B200" s="190">
        <v>42629</v>
      </c>
      <c r="C200" s="279">
        <v>3200</v>
      </c>
      <c r="D200" s="280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29">
        <f t="shared" si="19"/>
        <v>-0.34384595142090191</v>
      </c>
      <c r="I200" s="197"/>
      <c r="J200" s="40"/>
      <c r="K200" s="40"/>
    </row>
    <row r="201" spans="2:11" x14ac:dyDescent="0.25">
      <c r="B201" s="190">
        <v>42633</v>
      </c>
      <c r="C201" s="279">
        <v>3200</v>
      </c>
      <c r="D201" s="280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29">
        <f t="shared" si="19"/>
        <v>-0.3275531872349649</v>
      </c>
      <c r="I201" s="197"/>
      <c r="J201" s="40"/>
      <c r="K201" s="40"/>
    </row>
    <row r="202" spans="2:11" x14ac:dyDescent="0.25">
      <c r="B202" s="190">
        <v>42634</v>
      </c>
      <c r="C202" s="279">
        <v>3000</v>
      </c>
      <c r="D202" s="280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29">
        <f t="shared" si="19"/>
        <v>-0.33271427541431964</v>
      </c>
      <c r="I202" s="239"/>
      <c r="J202" s="40"/>
      <c r="K202" s="40"/>
    </row>
    <row r="203" spans="2:11" x14ac:dyDescent="0.25">
      <c r="B203" s="190">
        <v>42635</v>
      </c>
      <c r="C203" s="279">
        <v>3000</v>
      </c>
      <c r="D203" s="280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29">
        <f t="shared" si="19"/>
        <v>-0.32690758310465451</v>
      </c>
      <c r="I203" s="239"/>
      <c r="J203" s="40"/>
      <c r="K203" s="40"/>
    </row>
    <row r="204" spans="2:11" x14ac:dyDescent="0.25">
      <c r="B204" s="190">
        <v>42639</v>
      </c>
      <c r="C204" s="279">
        <v>3000</v>
      </c>
      <c r="D204" s="280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29">
        <f t="shared" si="19"/>
        <v>-0.33852096772398471</v>
      </c>
      <c r="I204" s="239"/>
      <c r="J204" s="40"/>
      <c r="K204" s="40"/>
    </row>
    <row r="205" spans="2:11" x14ac:dyDescent="0.25">
      <c r="B205" s="190">
        <v>42640</v>
      </c>
      <c r="C205" s="279">
        <v>3000</v>
      </c>
      <c r="D205" s="280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29">
        <f t="shared" ref="H205:H213" si="22">IF(C205=0, D205, (E205-D205)/D205)</f>
        <v>-0.34819878824009315</v>
      </c>
      <c r="I205" s="239"/>
      <c r="J205" s="40"/>
      <c r="K205" s="40"/>
    </row>
    <row r="206" spans="2:11" x14ac:dyDescent="0.25">
      <c r="B206" s="190">
        <v>42641</v>
      </c>
      <c r="C206" s="279">
        <v>3200</v>
      </c>
      <c r="D206" s="280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29">
        <f t="shared" si="22"/>
        <v>-0.34130758609768047</v>
      </c>
      <c r="I206" s="239"/>
      <c r="J206" s="40"/>
      <c r="K206" s="40"/>
    </row>
    <row r="207" spans="2:11" x14ac:dyDescent="0.25">
      <c r="B207" s="190">
        <v>42642</v>
      </c>
      <c r="C207" s="10">
        <v>3500</v>
      </c>
      <c r="D207" s="197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29">
        <f t="shared" si="22"/>
        <v>-0.34862299616065323</v>
      </c>
      <c r="I207" s="239">
        <v>19.5</v>
      </c>
      <c r="J207" s="40"/>
      <c r="K207" s="40"/>
    </row>
    <row r="208" spans="2:11" x14ac:dyDescent="0.25">
      <c r="B208" s="190">
        <v>42643</v>
      </c>
      <c r="C208" s="10">
        <v>4000</v>
      </c>
      <c r="D208" s="197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29">
        <f t="shared" si="22"/>
        <v>-0.32454321446667261</v>
      </c>
      <c r="I208" s="239"/>
      <c r="J208" s="40"/>
      <c r="K208" s="40"/>
    </row>
    <row r="209" spans="2:11" x14ac:dyDescent="0.25">
      <c r="B209" s="190">
        <v>42646</v>
      </c>
      <c r="C209" s="10">
        <v>4500</v>
      </c>
      <c r="D209" s="197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29">
        <f t="shared" si="22"/>
        <v>-0.30685981433824244</v>
      </c>
      <c r="I209" s="239">
        <v>18</v>
      </c>
      <c r="J209" s="40"/>
      <c r="K209" s="40"/>
    </row>
    <row r="210" spans="2:11" x14ac:dyDescent="0.25">
      <c r="B210" s="190">
        <v>42646</v>
      </c>
      <c r="C210" s="10">
        <v>5000</v>
      </c>
      <c r="D210" s="197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29">
        <f t="shared" si="22"/>
        <v>-0.2845159521461374</v>
      </c>
      <c r="I210" s="239"/>
      <c r="J210" s="40"/>
      <c r="K210" s="40"/>
    </row>
    <row r="211" spans="2:11" x14ac:dyDescent="0.25">
      <c r="B211" s="190">
        <v>42646</v>
      </c>
      <c r="C211" s="10">
        <v>4500</v>
      </c>
      <c r="D211" s="197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29">
        <f t="shared" si="22"/>
        <v>-0.30635671355140376</v>
      </c>
      <c r="I211" s="239">
        <v>18</v>
      </c>
      <c r="J211" s="40"/>
      <c r="K211" s="40"/>
    </row>
    <row r="212" spans="2:11" x14ac:dyDescent="0.25">
      <c r="B212" s="190">
        <v>42647</v>
      </c>
      <c r="C212" s="10">
        <v>5000</v>
      </c>
      <c r="D212" s="197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29">
        <f t="shared" si="22"/>
        <v>-0.30032672447956077</v>
      </c>
      <c r="I212" s="239"/>
      <c r="J212" s="40"/>
      <c r="K212" s="40"/>
    </row>
    <row r="213" spans="2:11" x14ac:dyDescent="0.25">
      <c r="B213" s="190">
        <v>42648</v>
      </c>
      <c r="C213" s="10">
        <v>4500</v>
      </c>
      <c r="D213" s="197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29">
        <f t="shared" si="22"/>
        <v>-0.31477768342617829</v>
      </c>
      <c r="I213" s="239" t="s">
        <v>307</v>
      </c>
      <c r="J213" s="40"/>
      <c r="K213" s="40"/>
    </row>
    <row r="214" spans="2:11" x14ac:dyDescent="0.25">
      <c r="B214" s="190">
        <v>42650</v>
      </c>
      <c r="C214" s="10">
        <v>4500</v>
      </c>
      <c r="D214" s="197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29">
        <f t="shared" ref="H214:H233" si="25">IF(C214=0, D214, (E214-D214)/D214)</f>
        <v>-0.30255149448487728</v>
      </c>
      <c r="I214" s="239"/>
      <c r="J214" s="40"/>
      <c r="K214" s="40"/>
    </row>
    <row r="215" spans="2:11" x14ac:dyDescent="0.25">
      <c r="B215" s="190">
        <v>42653</v>
      </c>
      <c r="C215" s="10">
        <v>3500</v>
      </c>
      <c r="D215" s="197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29">
        <f t="shared" si="25"/>
        <v>-0.32439375256884501</v>
      </c>
      <c r="I215" s="239" t="s">
        <v>304</v>
      </c>
      <c r="J215" s="40"/>
      <c r="K215" s="40"/>
    </row>
    <row r="216" spans="2:11" x14ac:dyDescent="0.25">
      <c r="B216" s="190">
        <v>42653</v>
      </c>
      <c r="C216" s="10">
        <v>3000</v>
      </c>
      <c r="D216" s="197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29">
        <f t="shared" si="25"/>
        <v>-0.35915273656401575</v>
      </c>
      <c r="I216" s="239"/>
      <c r="J216" s="40"/>
      <c r="K216" s="40"/>
    </row>
    <row r="217" spans="2:11" x14ac:dyDescent="0.25">
      <c r="B217" s="190">
        <v>42662</v>
      </c>
      <c r="C217" s="10">
        <v>2700</v>
      </c>
      <c r="D217" s="197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29">
        <f t="shared" si="25"/>
        <v>-0.38759053187785736</v>
      </c>
      <c r="I217" s="239" t="s">
        <v>306</v>
      </c>
      <c r="J217" s="40"/>
      <c r="K217" s="40"/>
    </row>
    <row r="218" spans="2:11" x14ac:dyDescent="0.25">
      <c r="B218" s="190">
        <v>42664</v>
      </c>
      <c r="C218" s="436">
        <v>3000</v>
      </c>
      <c r="D218" s="495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29">
        <f t="shared" si="25"/>
        <v>-0.38182808961441894</v>
      </c>
      <c r="I218" s="239"/>
      <c r="J218" s="40"/>
      <c r="K218" s="40"/>
    </row>
    <row r="219" spans="2:11" x14ac:dyDescent="0.25">
      <c r="B219" s="190">
        <v>42667</v>
      </c>
      <c r="C219" s="279">
        <v>3200</v>
      </c>
      <c r="D219" s="280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29">
        <f t="shared" si="25"/>
        <v>-0.37817639463469371</v>
      </c>
      <c r="I219" s="239" t="s">
        <v>308</v>
      </c>
      <c r="J219" s="40"/>
      <c r="K219" s="40"/>
    </row>
    <row r="220" spans="2:11" x14ac:dyDescent="0.25">
      <c r="B220" s="190">
        <v>42668</v>
      </c>
      <c r="C220" s="279">
        <v>3500</v>
      </c>
      <c r="D220" s="280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29">
        <f t="shared" si="25"/>
        <v>-0.37012735755476805</v>
      </c>
      <c r="I220" s="239">
        <v>19.25</v>
      </c>
      <c r="J220" s="40"/>
      <c r="K220" s="40"/>
    </row>
    <row r="221" spans="2:11" x14ac:dyDescent="0.25">
      <c r="B221" s="190">
        <v>42669</v>
      </c>
      <c r="C221" s="279">
        <v>3500</v>
      </c>
      <c r="D221" s="280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29">
        <f t="shared" si="25"/>
        <v>-0.38357938357938354</v>
      </c>
      <c r="I221" s="239"/>
      <c r="J221" s="40"/>
      <c r="K221" s="40"/>
    </row>
    <row r="222" spans="2:11" x14ac:dyDescent="0.25">
      <c r="B222" s="190">
        <v>42671</v>
      </c>
      <c r="C222" s="279">
        <v>3500</v>
      </c>
      <c r="D222" s="280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29">
        <f t="shared" si="25"/>
        <v>-0.39054947458212996</v>
      </c>
      <c r="I222" s="239">
        <v>19.25</v>
      </c>
      <c r="J222" s="40"/>
      <c r="K222" s="40"/>
    </row>
    <row r="223" spans="2:11" x14ac:dyDescent="0.25">
      <c r="B223" s="190">
        <v>42676</v>
      </c>
      <c r="C223" s="279">
        <v>3800</v>
      </c>
      <c r="D223" s="280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29">
        <f t="shared" si="25"/>
        <v>-0.41612085494061474</v>
      </c>
      <c r="I223" s="239"/>
      <c r="J223" s="40"/>
      <c r="K223" s="40"/>
    </row>
    <row r="224" spans="2:11" x14ac:dyDescent="0.25">
      <c r="B224" s="190">
        <v>42677</v>
      </c>
      <c r="C224" s="279">
        <v>3500</v>
      </c>
      <c r="D224" s="280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29">
        <f t="shared" si="25"/>
        <v>-0.4245666494382267</v>
      </c>
      <c r="I224" s="239">
        <v>19.25</v>
      </c>
      <c r="J224" s="40"/>
      <c r="K224" s="40"/>
    </row>
    <row r="225" spans="1:11" x14ac:dyDescent="0.25">
      <c r="B225" s="190">
        <v>42701</v>
      </c>
      <c r="C225" s="279">
        <v>3500</v>
      </c>
      <c r="D225" s="280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29">
        <f t="shared" si="25"/>
        <v>-0.38979626901029329</v>
      </c>
      <c r="I225" s="239" t="s">
        <v>314</v>
      </c>
      <c r="J225" s="40"/>
      <c r="K225" s="40"/>
    </row>
    <row r="226" spans="1:11" x14ac:dyDescent="0.25">
      <c r="B226" s="190">
        <v>42702</v>
      </c>
      <c r="C226" s="279">
        <v>3200</v>
      </c>
      <c r="D226" s="280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29">
        <f t="shared" si="25"/>
        <v>-0.40075719757467537</v>
      </c>
      <c r="I226" s="239"/>
      <c r="J226" s="40"/>
      <c r="K226" s="40"/>
    </row>
    <row r="227" spans="1:11" x14ac:dyDescent="0.25">
      <c r="B227" s="190">
        <v>42704</v>
      </c>
      <c r="C227" s="279">
        <v>3500</v>
      </c>
      <c r="D227" s="280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29">
        <f t="shared" si="25"/>
        <v>-0.41807364108452277</v>
      </c>
      <c r="I227" s="239">
        <v>19</v>
      </c>
      <c r="J227" s="40"/>
      <c r="K227" s="40"/>
    </row>
    <row r="228" spans="1:11" x14ac:dyDescent="0.25">
      <c r="B228" s="190">
        <v>42705</v>
      </c>
      <c r="C228" s="279">
        <v>4000</v>
      </c>
      <c r="D228" s="280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29">
        <f t="shared" si="25"/>
        <v>-0.42500165705574328</v>
      </c>
      <c r="I228" s="239"/>
      <c r="J228" s="40"/>
      <c r="K228" s="40"/>
    </row>
    <row r="229" spans="1:11" x14ac:dyDescent="0.25">
      <c r="B229" s="190">
        <v>42710</v>
      </c>
      <c r="C229" s="279">
        <v>3500</v>
      </c>
      <c r="D229" s="280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29">
        <f t="shared" si="25"/>
        <v>-0.41927929945202991</v>
      </c>
      <c r="I229" s="239">
        <v>19</v>
      </c>
      <c r="J229" s="40"/>
      <c r="K229" s="40"/>
    </row>
    <row r="230" spans="1:11" x14ac:dyDescent="0.25">
      <c r="B230" s="190">
        <v>42711</v>
      </c>
      <c r="C230" s="279">
        <v>3200</v>
      </c>
      <c r="D230" s="280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29">
        <f t="shared" si="25"/>
        <v>-0.44302010012544635</v>
      </c>
      <c r="I230" s="239"/>
      <c r="J230" s="40"/>
      <c r="K230" s="40"/>
    </row>
    <row r="231" spans="1:11" x14ac:dyDescent="0.25">
      <c r="B231" s="190">
        <v>42712</v>
      </c>
      <c r="C231" s="436">
        <v>3000</v>
      </c>
      <c r="D231" s="495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29">
        <f t="shared" si="25"/>
        <v>-0.44762527839098337</v>
      </c>
      <c r="I231" s="239"/>
      <c r="J231" s="40"/>
      <c r="K231" s="40"/>
    </row>
    <row r="232" spans="1:11" x14ac:dyDescent="0.25">
      <c r="B232" s="190">
        <v>42713</v>
      </c>
      <c r="C232" s="279">
        <v>2800</v>
      </c>
      <c r="D232" s="280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29">
        <f t="shared" si="25"/>
        <v>-0.44588069801923735</v>
      </c>
      <c r="I232" s="239"/>
      <c r="J232" s="40"/>
      <c r="K232" s="40"/>
    </row>
    <row r="233" spans="1:11" x14ac:dyDescent="0.25">
      <c r="B233" s="190">
        <v>42716</v>
      </c>
      <c r="C233" s="436">
        <v>3000</v>
      </c>
      <c r="D233" s="495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29">
        <f t="shared" si="25"/>
        <v>-0.43976904564681435</v>
      </c>
      <c r="I233" s="239"/>
      <c r="J233" s="40"/>
      <c r="K233" s="40"/>
    </row>
    <row r="234" spans="1:11" x14ac:dyDescent="0.25">
      <c r="B234" s="190">
        <v>42731</v>
      </c>
      <c r="C234" s="279">
        <v>3000</v>
      </c>
      <c r="D234" s="280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29">
        <f t="shared" ref="H234:H247" si="28">IF(C234=0, D234, (E234-D234)/D234)</f>
        <v>-0.4260366630722478</v>
      </c>
      <c r="I234" s="197"/>
      <c r="J234" s="40"/>
      <c r="K234" s="40"/>
    </row>
    <row r="235" spans="1:11" x14ac:dyDescent="0.25">
      <c r="B235" s="190">
        <v>42733</v>
      </c>
      <c r="C235" s="421">
        <v>2000</v>
      </c>
      <c r="D235" s="209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29">
        <f t="shared" si="28"/>
        <v>-0.53042798423303039</v>
      </c>
      <c r="I235" s="438" t="s">
        <v>337</v>
      </c>
      <c r="J235" s="40"/>
      <c r="K235" s="40"/>
    </row>
    <row r="236" spans="1:11" x14ac:dyDescent="0.25">
      <c r="A236" t="s">
        <v>349</v>
      </c>
      <c r="B236" s="190">
        <v>42754</v>
      </c>
      <c r="C236" s="279">
        <v>2000</v>
      </c>
      <c r="D236" s="280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29">
        <f t="shared" si="28"/>
        <v>-0.50824030307565637</v>
      </c>
      <c r="I236" s="197"/>
      <c r="J236" s="40"/>
      <c r="K236" s="40"/>
    </row>
    <row r="237" spans="1:11" x14ac:dyDescent="0.25">
      <c r="A237" t="s">
        <v>376</v>
      </c>
      <c r="B237" s="190">
        <v>42760</v>
      </c>
      <c r="C237" s="279">
        <v>2000</v>
      </c>
      <c r="D237" s="280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29">
        <f t="shared" si="28"/>
        <v>-0.52356997369347835</v>
      </c>
      <c r="I237" s="197"/>
      <c r="J237" s="40"/>
      <c r="K237" s="40"/>
    </row>
    <row r="238" spans="1:11" x14ac:dyDescent="0.25">
      <c r="A238" t="s">
        <v>376</v>
      </c>
      <c r="B238" s="190">
        <v>42762</v>
      </c>
      <c r="C238" s="279">
        <v>2000</v>
      </c>
      <c r="D238" s="280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29">
        <f t="shared" si="28"/>
        <v>-0.52518362323219658</v>
      </c>
      <c r="I238" s="197"/>
      <c r="J238" s="40"/>
      <c r="K238" s="40"/>
    </row>
    <row r="239" spans="1:11" x14ac:dyDescent="0.25">
      <c r="A239" t="s">
        <v>394</v>
      </c>
      <c r="B239" s="190">
        <v>42765</v>
      </c>
      <c r="C239" s="279">
        <v>2200</v>
      </c>
      <c r="D239" s="280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29">
        <f t="shared" si="28"/>
        <v>-0.51015027995653695</v>
      </c>
      <c r="I239" s="197"/>
      <c r="J239" s="40"/>
      <c r="K239" s="40"/>
    </row>
    <row r="240" spans="1:11" x14ac:dyDescent="0.25">
      <c r="A240" t="s">
        <v>398</v>
      </c>
      <c r="B240" s="190">
        <v>42766</v>
      </c>
      <c r="C240" s="421">
        <v>2000</v>
      </c>
      <c r="D240" s="209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29">
        <f t="shared" si="28"/>
        <v>-0.523647087081753</v>
      </c>
      <c r="I240" s="197"/>
      <c r="J240" s="40"/>
      <c r="K240" s="40"/>
    </row>
    <row r="241" spans="1:11" x14ac:dyDescent="0.25">
      <c r="A241" t="s">
        <v>415</v>
      </c>
      <c r="B241" s="190">
        <v>42769</v>
      </c>
      <c r="C241" s="421">
        <v>2000</v>
      </c>
      <c r="D241" s="209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29">
        <f t="shared" si="28"/>
        <v>-0.5289901508403988</v>
      </c>
      <c r="I241" s="438">
        <v>24.5</v>
      </c>
      <c r="J241" s="40"/>
      <c r="K241" s="40"/>
    </row>
    <row r="242" spans="1:11" x14ac:dyDescent="0.25">
      <c r="A242" t="s">
        <v>423</v>
      </c>
      <c r="B242" s="190">
        <v>42772</v>
      </c>
      <c r="C242" s="279">
        <v>2500</v>
      </c>
      <c r="D242" s="280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29">
        <f t="shared" si="28"/>
        <v>-0.49526286954860071</v>
      </c>
      <c r="I242" s="197"/>
      <c r="J242" s="40"/>
      <c r="K242" s="40"/>
    </row>
    <row r="243" spans="1:11" x14ac:dyDescent="0.25">
      <c r="A243" t="s">
        <v>426</v>
      </c>
      <c r="B243" s="190">
        <v>42773</v>
      </c>
      <c r="C243" s="436">
        <v>3000</v>
      </c>
      <c r="D243" s="495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29">
        <f t="shared" si="28"/>
        <v>-0.45038784792677383</v>
      </c>
      <c r="I243" s="197"/>
      <c r="J243" s="40"/>
      <c r="K243" s="40"/>
    </row>
    <row r="244" spans="1:11" x14ac:dyDescent="0.25">
      <c r="A244" t="s">
        <v>431</v>
      </c>
      <c r="B244" s="190">
        <v>42774</v>
      </c>
      <c r="C244" s="421">
        <v>2000</v>
      </c>
      <c r="D244" s="209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29">
        <f t="shared" si="28"/>
        <v>-0.53568553469347935</v>
      </c>
      <c r="I244" s="438">
        <v>24.5</v>
      </c>
      <c r="J244" s="40"/>
      <c r="K244" s="40"/>
    </row>
    <row r="245" spans="1:11" x14ac:dyDescent="0.25">
      <c r="A245" t="s">
        <v>432</v>
      </c>
      <c r="B245" s="190">
        <v>42775</v>
      </c>
      <c r="C245" s="279">
        <v>2500</v>
      </c>
      <c r="D245" s="280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29">
        <f t="shared" si="28"/>
        <v>-0.49161135924594185</v>
      </c>
      <c r="I245" s="197"/>
      <c r="J245" s="40"/>
      <c r="K245" s="40"/>
    </row>
    <row r="246" spans="1:11" x14ac:dyDescent="0.25">
      <c r="A246" t="s">
        <v>433</v>
      </c>
      <c r="B246" s="190">
        <v>42775</v>
      </c>
      <c r="C246" s="436">
        <v>3000</v>
      </c>
      <c r="D246" s="495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29">
        <f t="shared" si="28"/>
        <v>-0.45676965988905571</v>
      </c>
      <c r="I246" s="495">
        <v>20</v>
      </c>
      <c r="J246" s="40"/>
      <c r="K246" s="40"/>
    </row>
    <row r="247" spans="1:11" x14ac:dyDescent="0.25">
      <c r="A247" t="s">
        <v>438</v>
      </c>
      <c r="B247" s="190">
        <v>42776</v>
      </c>
      <c r="C247" s="279">
        <v>2500</v>
      </c>
      <c r="D247" s="280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29">
        <f t="shared" si="28"/>
        <v>-0.4657536633706954</v>
      </c>
      <c r="I247" s="197"/>
      <c r="J247" s="40"/>
      <c r="K247" s="40"/>
    </row>
    <row r="248" spans="1:11" x14ac:dyDescent="0.25">
      <c r="A248" t="s">
        <v>438</v>
      </c>
      <c r="B248" s="190">
        <v>42790</v>
      </c>
      <c r="C248" s="279">
        <v>2500</v>
      </c>
      <c r="D248" s="280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29">
        <f t="shared" ref="H248" si="31">IF(C248=0, D248, (E248-D248)/D248)</f>
        <v>-0.46070927735960326</v>
      </c>
      <c r="I248" s="197"/>
      <c r="J248" s="40"/>
      <c r="K248" s="40"/>
    </row>
    <row r="249" spans="1:11" x14ac:dyDescent="0.25">
      <c r="A249" t="s">
        <v>438</v>
      </c>
      <c r="B249" s="190">
        <v>42808</v>
      </c>
      <c r="C249" s="279">
        <v>2700</v>
      </c>
      <c r="D249" s="280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29">
        <f t="shared" ref="H249" si="34">IF(C249=0, D249, (E249-D249)/D249)</f>
        <v>-0.48730166293419735</v>
      </c>
      <c r="I249" s="197"/>
      <c r="J249" s="40"/>
      <c r="K249" s="40"/>
    </row>
    <row r="250" spans="1:11" x14ac:dyDescent="0.25">
      <c r="A250">
        <v>2300</v>
      </c>
      <c r="B250" s="190">
        <v>42809</v>
      </c>
      <c r="C250" s="279">
        <v>2500</v>
      </c>
      <c r="D250" s="280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29">
        <f t="shared" ref="H250:H251" si="37">IF(C250=0, D250, (E250-D250)/D250)</f>
        <v>-0.49298902470359351</v>
      </c>
      <c r="I250" s="197"/>
      <c r="J250" s="40">
        <v>42</v>
      </c>
      <c r="K250" s="40"/>
    </row>
    <row r="251" spans="1:11" x14ac:dyDescent="0.25">
      <c r="A251">
        <v>2300</v>
      </c>
      <c r="B251" s="190">
        <v>42814</v>
      </c>
      <c r="C251" s="279">
        <v>2700</v>
      </c>
      <c r="D251" s="280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29">
        <f t="shared" si="37"/>
        <v>-0.49210739663312508</v>
      </c>
      <c r="I251" s="197"/>
      <c r="J251" s="40"/>
      <c r="K251" s="40"/>
    </row>
    <row r="252" spans="1:11" x14ac:dyDescent="0.25">
      <c r="A252">
        <v>2300</v>
      </c>
      <c r="B252" s="190">
        <v>42818</v>
      </c>
      <c r="C252" s="279">
        <v>2700</v>
      </c>
      <c r="D252" s="280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29">
        <f t="shared" ref="H252:H253" si="40">IF(C252=0, D252, (E252-D252)/D252)</f>
        <v>-0.48495397968429588</v>
      </c>
      <c r="I252" s="197"/>
      <c r="J252" s="40"/>
      <c r="K252" s="40"/>
    </row>
    <row r="253" spans="1:11" x14ac:dyDescent="0.25">
      <c r="A253">
        <v>2100</v>
      </c>
      <c r="B253" s="190">
        <v>42823</v>
      </c>
      <c r="C253" s="279">
        <v>2500</v>
      </c>
      <c r="D253" s="280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29">
        <f t="shared" si="40"/>
        <v>-0.49887925332549421</v>
      </c>
      <c r="I253" s="197"/>
      <c r="J253" s="40"/>
      <c r="K253" s="40"/>
    </row>
    <row r="254" spans="1:11" x14ac:dyDescent="0.25">
      <c r="A254">
        <v>1800</v>
      </c>
      <c r="B254" s="190">
        <v>42825</v>
      </c>
      <c r="C254" s="279">
        <v>2200</v>
      </c>
      <c r="D254" s="280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29">
        <f t="shared" ref="H254:H263" si="43">IF(C254=0, D254, (E254-D254)/D254)</f>
        <v>-0.53033251252733626</v>
      </c>
      <c r="I254" s="197"/>
      <c r="J254" s="40">
        <v>49</v>
      </c>
      <c r="K254" s="40"/>
    </row>
    <row r="255" spans="1:11" x14ac:dyDescent="0.25">
      <c r="A255">
        <v>1800</v>
      </c>
      <c r="B255" s="190">
        <v>42833</v>
      </c>
      <c r="C255" s="279">
        <v>2500</v>
      </c>
      <c r="D255" s="280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29">
        <f t="shared" si="43"/>
        <v>-0.51510407073125808</v>
      </c>
      <c r="I255" s="197"/>
      <c r="J255" s="40"/>
      <c r="K255" s="40"/>
    </row>
    <row r="256" spans="1:11" x14ac:dyDescent="0.25">
      <c r="A256">
        <v>1500</v>
      </c>
      <c r="B256" s="190">
        <v>42837</v>
      </c>
      <c r="C256" s="279">
        <v>2200</v>
      </c>
      <c r="D256" s="280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29">
        <f t="shared" si="43"/>
        <v>-0.54297952367353142</v>
      </c>
      <c r="I256" s="197"/>
      <c r="J256" s="40"/>
      <c r="K256" s="40"/>
    </row>
    <row r="257" spans="1:11" x14ac:dyDescent="0.25">
      <c r="A257">
        <v>1700</v>
      </c>
      <c r="B257" s="190">
        <v>42844</v>
      </c>
      <c r="C257" s="10">
        <v>2400</v>
      </c>
      <c r="D257" s="197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29">
        <f t="shared" si="43"/>
        <v>-0.53564007588761409</v>
      </c>
      <c r="I257" s="197"/>
      <c r="J257" s="40"/>
      <c r="K257" s="40"/>
    </row>
    <row r="258" spans="1:11" x14ac:dyDescent="0.25">
      <c r="A258">
        <v>1900</v>
      </c>
      <c r="B258" s="190">
        <v>42845</v>
      </c>
      <c r="C258" s="10">
        <v>2500</v>
      </c>
      <c r="D258" s="197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29">
        <f t="shared" si="43"/>
        <v>-0.53449709060681627</v>
      </c>
      <c r="I258" s="197"/>
      <c r="J258" s="40"/>
      <c r="K258" s="40"/>
    </row>
    <row r="259" spans="1:11" x14ac:dyDescent="0.25">
      <c r="A259">
        <v>1600</v>
      </c>
      <c r="B259" s="190">
        <v>42856</v>
      </c>
      <c r="C259" s="10">
        <v>2200</v>
      </c>
      <c r="D259" s="197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29">
        <f t="shared" si="43"/>
        <v>-0.55284377560260445</v>
      </c>
      <c r="I259" s="197"/>
      <c r="J259" s="40"/>
      <c r="K259" s="40"/>
    </row>
    <row r="260" spans="1:11" x14ac:dyDescent="0.25">
      <c r="A260">
        <v>1600</v>
      </c>
      <c r="B260" s="190">
        <v>42857</v>
      </c>
      <c r="C260" s="10">
        <v>2500</v>
      </c>
      <c r="D260" s="197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29">
        <f t="shared" si="43"/>
        <v>-0.54120370370370374</v>
      </c>
      <c r="I260" s="197"/>
      <c r="J260" s="40"/>
      <c r="K260" s="40"/>
    </row>
    <row r="261" spans="1:11" x14ac:dyDescent="0.25">
      <c r="A261">
        <v>1600</v>
      </c>
      <c r="B261" s="190">
        <v>42862</v>
      </c>
      <c r="C261" s="279">
        <v>2500</v>
      </c>
      <c r="D261" s="280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29">
        <f t="shared" si="43"/>
        <v>-0.5361111111111112</v>
      </c>
      <c r="I261" s="197"/>
      <c r="J261" s="40"/>
      <c r="K261" s="40"/>
    </row>
    <row r="262" spans="1:11" x14ac:dyDescent="0.25">
      <c r="A262">
        <v>1600</v>
      </c>
      <c r="B262" s="190">
        <v>42864</v>
      </c>
      <c r="C262" s="279">
        <v>2200</v>
      </c>
      <c r="D262" s="280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29">
        <f t="shared" si="43"/>
        <v>-0.55915371329879093</v>
      </c>
      <c r="I262" s="197"/>
      <c r="J262" s="40"/>
      <c r="K262" s="40"/>
    </row>
    <row r="263" spans="1:11" x14ac:dyDescent="0.25">
      <c r="A263">
        <v>1400</v>
      </c>
      <c r="B263" s="190">
        <v>42865</v>
      </c>
      <c r="C263" s="421">
        <v>2000</v>
      </c>
      <c r="D263" s="209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29">
        <f t="shared" si="43"/>
        <v>-0.51086062201744276</v>
      </c>
      <c r="I263" s="197"/>
      <c r="J263" s="40"/>
      <c r="K263" s="40"/>
    </row>
    <row r="264" spans="1:11" x14ac:dyDescent="0.25">
      <c r="A264">
        <v>1400</v>
      </c>
      <c r="B264" s="190">
        <v>42866</v>
      </c>
      <c r="C264" s="279">
        <v>2000</v>
      </c>
      <c r="D264" s="280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29">
        <f t="shared" ref="H264:H266" si="46">IF(C264=0, D264, (E264-D264)/D264)</f>
        <v>-0.48700016455487904</v>
      </c>
      <c r="I264" s="197"/>
      <c r="J264" s="40"/>
      <c r="K264" s="40"/>
    </row>
    <row r="265" spans="1:11" x14ac:dyDescent="0.25">
      <c r="A265">
        <v>900</v>
      </c>
      <c r="B265" s="190">
        <v>42872</v>
      </c>
      <c r="C265" s="435">
        <v>1500</v>
      </c>
      <c r="D265" s="585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29">
        <f t="shared" si="46"/>
        <v>-0.534610454351232</v>
      </c>
      <c r="I265" s="197"/>
      <c r="J265" s="40"/>
      <c r="K265" s="40"/>
    </row>
    <row r="266" spans="1:11" x14ac:dyDescent="0.25">
      <c r="A266">
        <v>400</v>
      </c>
      <c r="B266" s="190">
        <v>42873</v>
      </c>
      <c r="C266" s="279">
        <v>1000</v>
      </c>
      <c r="D266" s="280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29">
        <f t="shared" si="46"/>
        <v>-0.63027672885081443</v>
      </c>
      <c r="I266" s="197"/>
      <c r="J266" s="40"/>
      <c r="K266" s="40"/>
    </row>
    <row r="267" spans="1:11" x14ac:dyDescent="0.25">
      <c r="A267">
        <v>800</v>
      </c>
      <c r="B267" s="190">
        <v>42950</v>
      </c>
      <c r="C267" s="279">
        <v>1000</v>
      </c>
      <c r="D267" s="280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29">
        <f t="shared" ref="H267" si="49">IF(C267=0, D267, (E267-D267)/D267)</f>
        <v>-0.59909655561829478</v>
      </c>
      <c r="I267" s="197"/>
      <c r="J267" s="40"/>
      <c r="K267" s="40"/>
    </row>
    <row r="268" spans="1:11" x14ac:dyDescent="0.25">
      <c r="B268" s="190"/>
      <c r="C268" s="279"/>
      <c r="D268" s="280"/>
      <c r="E268" s="40"/>
      <c r="F268" s="40"/>
      <c r="G268" s="40"/>
      <c r="H268" s="229"/>
      <c r="I268" s="197"/>
      <c r="J268" s="40"/>
      <c r="K268" s="40"/>
    </row>
    <row r="269" spans="1:11" x14ac:dyDescent="0.25">
      <c r="B269" s="190"/>
      <c r="C269" s="279"/>
      <c r="D269" s="280"/>
      <c r="E269" s="40"/>
      <c r="F269" s="40"/>
      <c r="G269" s="40"/>
      <c r="H269" s="229"/>
      <c r="I269" s="197"/>
      <c r="J269" s="40"/>
      <c r="K269" s="40"/>
    </row>
    <row r="270" spans="1:11" x14ac:dyDescent="0.25">
      <c r="B270" s="190"/>
      <c r="C270" s="279"/>
      <c r="D270" s="280"/>
      <c r="E270" s="40"/>
      <c r="F270" s="40"/>
      <c r="G270" s="40"/>
      <c r="H270" s="229"/>
      <c r="I270" s="197"/>
      <c r="J270" s="40"/>
      <c r="K270" s="40"/>
    </row>
    <row r="271" spans="1:11" x14ac:dyDescent="0.25">
      <c r="B271" s="190"/>
      <c r="C271" s="279"/>
      <c r="D271" s="280"/>
      <c r="E271" s="40"/>
      <c r="F271" s="40"/>
      <c r="G271" s="40"/>
      <c r="H271" s="229"/>
      <c r="I271" s="197"/>
      <c r="J271" s="40"/>
      <c r="K271" s="40"/>
    </row>
    <row r="272" spans="1:11" x14ac:dyDescent="0.25">
      <c r="B272" s="190"/>
      <c r="C272" s="279"/>
      <c r="D272" s="280"/>
      <c r="E272" s="40"/>
      <c r="F272" s="40"/>
      <c r="G272" s="40"/>
      <c r="H272" s="229"/>
      <c r="I272" s="197"/>
      <c r="J272" s="40"/>
      <c r="K272" s="40"/>
    </row>
    <row r="273" spans="2:11" x14ac:dyDescent="0.25">
      <c r="B273" s="190"/>
      <c r="C273" s="279"/>
      <c r="D273" s="280"/>
      <c r="E273" s="40"/>
      <c r="F273" s="40"/>
      <c r="G273" s="40"/>
      <c r="H273" s="229"/>
      <c r="I273" s="197"/>
      <c r="J273" s="40"/>
      <c r="K273" s="40"/>
    </row>
    <row r="274" spans="2:11" x14ac:dyDescent="0.25">
      <c r="B274" s="190"/>
      <c r="C274" s="279"/>
      <c r="D274" s="280"/>
      <c r="E274" s="40"/>
      <c r="F274" s="40"/>
      <c r="G274" s="40"/>
      <c r="H274" s="229"/>
      <c r="I274" s="197"/>
      <c r="J274" s="40"/>
      <c r="K274" s="40"/>
    </row>
    <row r="275" spans="2:11" x14ac:dyDescent="0.25">
      <c r="B275" s="190"/>
      <c r="C275" s="279"/>
      <c r="D275" s="280"/>
      <c r="E275" s="40"/>
      <c r="F275" s="40"/>
      <c r="G275" s="40"/>
      <c r="H275" s="229"/>
      <c r="I275" s="197"/>
      <c r="J275" s="40"/>
      <c r="K275" s="40"/>
    </row>
    <row r="276" spans="2:11" x14ac:dyDescent="0.25">
      <c r="B276" s="190"/>
      <c r="C276" s="279"/>
      <c r="D276" s="280"/>
      <c r="E276" s="40"/>
      <c r="F276" s="40"/>
      <c r="G276" s="40"/>
      <c r="H276" s="229"/>
      <c r="I276" s="197"/>
      <c r="J276" s="40"/>
      <c r="K276" s="40"/>
    </row>
    <row r="277" spans="2:11" x14ac:dyDescent="0.25">
      <c r="B277" s="190"/>
      <c r="C277" s="279"/>
      <c r="D277" s="280"/>
      <c r="E277" s="40"/>
      <c r="F277" s="40"/>
      <c r="G277" s="40"/>
      <c r="H277" s="229"/>
      <c r="I277" s="197"/>
      <c r="J277" s="40"/>
      <c r="K277" s="40"/>
    </row>
    <row r="278" spans="2:11" x14ac:dyDescent="0.25">
      <c r="B278" s="190"/>
      <c r="C278" s="279"/>
      <c r="D278" s="280"/>
      <c r="E278" s="40"/>
      <c r="F278" s="40"/>
      <c r="G278" s="40"/>
      <c r="H278" s="229"/>
      <c r="I278" s="197"/>
      <c r="J278" s="40"/>
      <c r="K278" s="40"/>
    </row>
    <row r="279" spans="2:11" x14ac:dyDescent="0.25">
      <c r="B279" s="190"/>
      <c r="C279" s="279"/>
      <c r="D279" s="280"/>
      <c r="E279" s="40"/>
      <c r="F279" s="40"/>
      <c r="G279" s="40"/>
      <c r="H279" s="229"/>
      <c r="I279" s="197"/>
      <c r="J279" s="40"/>
      <c r="K279" s="40"/>
    </row>
    <row r="280" spans="2:11" x14ac:dyDescent="0.25">
      <c r="B280" s="190"/>
      <c r="C280" s="279"/>
      <c r="D280" s="280"/>
      <c r="E280" s="40"/>
      <c r="F280" s="40"/>
      <c r="G280" s="40"/>
      <c r="H280" s="229"/>
      <c r="I280" s="197"/>
      <c r="J280" s="40"/>
      <c r="K280" s="40"/>
    </row>
    <row r="281" spans="2:11" x14ac:dyDescent="0.25">
      <c r="B281" s="190"/>
      <c r="C281" s="279"/>
      <c r="D281" s="280"/>
      <c r="E281" s="40"/>
      <c r="F281" s="40"/>
      <c r="G281" s="40"/>
      <c r="H281" s="229"/>
      <c r="I281" s="197"/>
      <c r="J281" s="40"/>
      <c r="K281" s="40"/>
    </row>
    <row r="282" spans="2:11" x14ac:dyDescent="0.25">
      <c r="B282" s="190"/>
      <c r="C282" s="279"/>
      <c r="D282" s="280"/>
      <c r="E282" s="40"/>
      <c r="F282" s="40"/>
      <c r="G282" s="40"/>
      <c r="H282" s="229"/>
      <c r="I282" s="197"/>
      <c r="J282" s="40"/>
      <c r="K282" s="40"/>
    </row>
    <row r="283" spans="2:11" x14ac:dyDescent="0.25">
      <c r="B283" s="190"/>
      <c r="C283" s="279"/>
      <c r="D283" s="280"/>
      <c r="E283" s="40"/>
      <c r="F283" s="40"/>
      <c r="G283" s="40"/>
      <c r="H283" s="229"/>
      <c r="I283" s="197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66" priority="74">
      <formula>F12&gt;0</formula>
    </cfRule>
    <cfRule type="expression" dxfId="86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64" priority="67">
      <formula>F124&gt;0</formula>
    </cfRule>
    <cfRule type="expression" dxfId="863" priority="68">
      <formula>F124&lt;0</formula>
    </cfRule>
  </conditionalFormatting>
  <conditionalFormatting sqref="H124:H130">
    <cfRule type="expression" dxfId="862" priority="55">
      <formula>H124&gt;0</formula>
    </cfRule>
    <cfRule type="expression" dxfId="861" priority="56">
      <formula>H124&lt;0</formula>
    </cfRule>
  </conditionalFormatting>
  <conditionalFormatting sqref="H131">
    <cfRule type="expression" dxfId="860" priority="53">
      <formula>H131&gt;0</formula>
    </cfRule>
    <cfRule type="expression" dxfId="859" priority="54">
      <formula>H131&lt;0</formula>
    </cfRule>
  </conditionalFormatting>
  <conditionalFormatting sqref="H132">
    <cfRule type="expression" dxfId="858" priority="51">
      <formula>H132&gt;0</formula>
    </cfRule>
    <cfRule type="expression" dxfId="857" priority="52">
      <formula>H132&lt;0</formula>
    </cfRule>
  </conditionalFormatting>
  <conditionalFormatting sqref="H133:H135">
    <cfRule type="expression" dxfId="856" priority="49">
      <formula>H133&gt;0</formula>
    </cfRule>
    <cfRule type="expression" dxfId="855" priority="50">
      <formula>H133&lt;0</formula>
    </cfRule>
  </conditionalFormatting>
  <conditionalFormatting sqref="H136">
    <cfRule type="expression" dxfId="854" priority="45">
      <formula>H136&gt;0</formula>
    </cfRule>
    <cfRule type="expression" dxfId="853" priority="46">
      <formula>H136&lt;0</formula>
    </cfRule>
  </conditionalFormatting>
  <conditionalFormatting sqref="Q7">
    <cfRule type="expression" dxfId="852" priority="39">
      <formula>Q7&gt;0</formula>
    </cfRule>
    <cfRule type="expression" dxfId="851" priority="40">
      <formula>Q7&lt;0</formula>
    </cfRule>
  </conditionalFormatting>
  <conditionalFormatting sqref="Q8">
    <cfRule type="expression" dxfId="850" priority="37">
      <formula>Q8&gt;0</formula>
    </cfRule>
    <cfRule type="expression" dxfId="849" priority="38">
      <formula>Q8&lt;0</formula>
    </cfRule>
  </conditionalFormatting>
  <conditionalFormatting sqref="F167:F178 H167:H178">
    <cfRule type="expression" dxfId="848" priority="35">
      <formula>F167&gt;0</formula>
    </cfRule>
    <cfRule type="expression" dxfId="847" priority="36">
      <formula>F167&lt;0</formula>
    </cfRule>
  </conditionalFormatting>
  <conditionalFormatting sqref="F183:F197 H183:H197">
    <cfRule type="expression" dxfId="846" priority="33">
      <formula>F183&gt;0</formula>
    </cfRule>
    <cfRule type="expression" dxfId="845" priority="34">
      <formula>F183&lt;0</formula>
    </cfRule>
  </conditionalFormatting>
  <conditionalFormatting sqref="F198:F206 H198:H206">
    <cfRule type="expression" dxfId="844" priority="31">
      <formula>F198&gt;0</formula>
    </cfRule>
    <cfRule type="expression" dxfId="843" priority="32">
      <formula>F198&lt;0</formula>
    </cfRule>
  </conditionalFormatting>
  <conditionalFormatting sqref="F141:F147 H141:H147">
    <cfRule type="expression" dxfId="842" priority="29">
      <formula>F141&gt;0</formula>
    </cfRule>
    <cfRule type="expression" dxfId="841" priority="30">
      <formula>F141&lt;0</formula>
    </cfRule>
  </conditionalFormatting>
  <conditionalFormatting sqref="H149:H152 F149:F152">
    <cfRule type="expression" dxfId="840" priority="27">
      <formula>F149&gt;0</formula>
    </cfRule>
    <cfRule type="expression" dxfId="839" priority="28">
      <formula>F149&lt;0</formula>
    </cfRule>
  </conditionalFormatting>
  <conditionalFormatting sqref="F226 H215:H218 H257:H260 F257:F260 H226 H231:H233 F231:F233 F235:F244 H235:H244">
    <cfRule type="expression" dxfId="838" priority="25">
      <formula>F215&gt;0</formula>
    </cfRule>
    <cfRule type="expression" dxfId="837" priority="26">
      <formula>F215&lt;0</formula>
    </cfRule>
  </conditionalFormatting>
  <conditionalFormatting sqref="F207:F218">
    <cfRule type="expression" dxfId="836" priority="23">
      <formula>F207&gt;0</formula>
    </cfRule>
    <cfRule type="expression" dxfId="835" priority="24">
      <formula>F207&lt;0</formula>
    </cfRule>
  </conditionalFormatting>
  <conditionalFormatting sqref="H207:H208">
    <cfRule type="expression" dxfId="834" priority="21">
      <formula>H207&gt;0</formula>
    </cfRule>
    <cfRule type="expression" dxfId="833" priority="22">
      <formula>H207&lt;0</formula>
    </cfRule>
  </conditionalFormatting>
  <conditionalFormatting sqref="H209">
    <cfRule type="expression" dxfId="832" priority="19">
      <formula>H209&gt;0</formula>
    </cfRule>
    <cfRule type="expression" dxfId="831" priority="20">
      <formula>H209&lt;0</formula>
    </cfRule>
  </conditionalFormatting>
  <conditionalFormatting sqref="H210">
    <cfRule type="expression" dxfId="830" priority="17">
      <formula>H210&gt;0</formula>
    </cfRule>
    <cfRule type="expression" dxfId="829" priority="18">
      <formula>H210&lt;0</formula>
    </cfRule>
  </conditionalFormatting>
  <conditionalFormatting sqref="H211:H213">
    <cfRule type="expression" dxfId="828" priority="15">
      <formula>H211&gt;0</formula>
    </cfRule>
    <cfRule type="expression" dxfId="827" priority="16">
      <formula>H211&lt;0</formula>
    </cfRule>
  </conditionalFormatting>
  <conditionalFormatting sqref="H214">
    <cfRule type="expression" dxfId="826" priority="13">
      <formula>H214&gt;0</formula>
    </cfRule>
    <cfRule type="expression" dxfId="825" priority="14">
      <formula>H214&lt;0</formula>
    </cfRule>
  </conditionalFormatting>
  <conditionalFormatting sqref="F245:F256 H245:H256">
    <cfRule type="expression" dxfId="824" priority="11">
      <formula>F245&gt;0</formula>
    </cfRule>
    <cfRule type="expression" dxfId="823" priority="12">
      <formula>F245&lt;0</formula>
    </cfRule>
  </conditionalFormatting>
  <conditionalFormatting sqref="F261:F275 H261:H275">
    <cfRule type="expression" dxfId="822" priority="9">
      <formula>F261&gt;0</formula>
    </cfRule>
    <cfRule type="expression" dxfId="821" priority="10">
      <formula>F261&lt;0</formula>
    </cfRule>
  </conditionalFormatting>
  <conditionalFormatting sqref="F276:F283 H276:H283">
    <cfRule type="expression" dxfId="820" priority="7">
      <formula>F276&gt;0</formula>
    </cfRule>
    <cfRule type="expression" dxfId="819" priority="8">
      <formula>F276&lt;0</formula>
    </cfRule>
  </conditionalFormatting>
  <conditionalFormatting sqref="F219:F225 H219:H225">
    <cfRule type="expression" dxfId="818" priority="5">
      <formula>F219&gt;0</formula>
    </cfRule>
    <cfRule type="expression" dxfId="817" priority="6">
      <formula>F219&lt;0</formula>
    </cfRule>
  </conditionalFormatting>
  <conditionalFormatting sqref="H227:H230 F227:F230">
    <cfRule type="expression" dxfId="816" priority="3">
      <formula>F227&gt;0</formula>
    </cfRule>
    <cfRule type="expression" dxfId="815" priority="4">
      <formula>F227&lt;0</formula>
    </cfRule>
  </conditionalFormatting>
  <conditionalFormatting sqref="H234 F234">
    <cfRule type="expression" dxfId="814" priority="1">
      <formula>F234&gt;0</formula>
    </cfRule>
    <cfRule type="expression" dxfId="81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319</v>
      </c>
      <c r="B2" s="499"/>
      <c r="C2" s="4"/>
      <c r="D2" s="3"/>
      <c r="E2" s="3"/>
      <c r="F2" s="3"/>
      <c r="G2" s="499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5">
        <f>AC2/AC3-1</f>
        <v>-1.0741138560677044E-4</v>
      </c>
    </row>
    <row r="3" spans="1:31" x14ac:dyDescent="0.25">
      <c r="A3" s="23" t="s">
        <v>71</v>
      </c>
      <c r="B3" s="499"/>
      <c r="C3" s="4"/>
      <c r="D3" s="3"/>
      <c r="E3" s="3"/>
      <c r="F3" s="3"/>
      <c r="G3" s="499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114.83</v>
      </c>
      <c r="T3" s="1"/>
      <c r="W3" s="131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5">
        <f t="shared" ref="AE3:AE66" si="1">AC3/AC4-1</f>
        <v>-1.429327686606674E-2</v>
      </c>
    </row>
    <row r="4" spans="1:31" x14ac:dyDescent="0.25">
      <c r="B4" s="499"/>
      <c r="C4" s="4"/>
      <c r="D4" s="3"/>
      <c r="E4" s="3"/>
      <c r="F4" s="3"/>
      <c r="G4" s="499"/>
      <c r="H4" s="182"/>
      <c r="I4" s="3"/>
      <c r="J4" s="3"/>
      <c r="K4" s="3"/>
      <c r="L4" s="4"/>
      <c r="M4" s="4"/>
      <c r="O4" s="11" t="s">
        <v>66</v>
      </c>
      <c r="Q4" s="55">
        <v>114.83</v>
      </c>
      <c r="R4" s="497">
        <v>-7.0000000000000001E-3</v>
      </c>
      <c r="T4" s="160"/>
      <c r="U4" s="1"/>
      <c r="W4" s="131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5">
        <f t="shared" si="1"/>
        <v>4.0395450196664129E-3</v>
      </c>
    </row>
    <row r="5" spans="1:31" x14ac:dyDescent="0.25">
      <c r="B5" s="499"/>
      <c r="C5" s="4"/>
      <c r="D5" s="3"/>
      <c r="E5" s="3"/>
      <c r="F5" s="3"/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5">
        <f t="shared" si="1"/>
        <v>2.2373748135520177E-3</v>
      </c>
    </row>
    <row r="6" spans="1:31" x14ac:dyDescent="0.25">
      <c r="B6" s="499"/>
      <c r="C6" s="4"/>
      <c r="D6" s="3"/>
      <c r="E6" s="3"/>
      <c r="F6" s="3"/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5">
        <f t="shared" si="1"/>
        <v>-5.6150015891514027E-3</v>
      </c>
    </row>
    <row r="7" spans="1:31" x14ac:dyDescent="0.25">
      <c r="B7" s="499"/>
      <c r="C7" s="4"/>
      <c r="D7" s="3"/>
      <c r="E7" s="3"/>
      <c r="F7" s="3"/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1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5">
        <f t="shared" si="1"/>
        <v>0</v>
      </c>
    </row>
    <row r="8" spans="1:31" x14ac:dyDescent="0.25">
      <c r="B8" s="499"/>
      <c r="C8" s="4"/>
      <c r="D8" s="3"/>
      <c r="E8" s="3"/>
      <c r="F8" s="3"/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5">
        <f t="shared" si="1"/>
        <v>-1.543757171169291E-2</v>
      </c>
    </row>
    <row r="9" spans="1:31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5">
        <f t="shared" si="1"/>
        <v>2.9291766921226703E-3</v>
      </c>
    </row>
    <row r="10" spans="1:31" x14ac:dyDescent="0.25">
      <c r="G10" s="30"/>
      <c r="H10" s="71"/>
      <c r="O10" s="11" t="s">
        <v>210</v>
      </c>
      <c r="P10" s="34"/>
      <c r="Q10" s="2">
        <f>M71</f>
        <v>720.56000000000131</v>
      </c>
      <c r="W10" s="131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5">
        <f t="shared" si="1"/>
        <v>1.3679745493107243E-2</v>
      </c>
    </row>
    <row r="11" spans="1:31" x14ac:dyDescent="0.25">
      <c r="G11" s="30"/>
      <c r="H11" s="71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5">
        <f t="shared" si="1"/>
        <v>8.8798544987696015E-3</v>
      </c>
    </row>
    <row r="12" spans="1:31" x14ac:dyDescent="0.25">
      <c r="G12" s="30"/>
      <c r="H12" s="71"/>
      <c r="W12" s="131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5">
        <f t="shared" si="1"/>
        <v>6.5690286452724234E-3</v>
      </c>
    </row>
    <row r="13" spans="1:31" x14ac:dyDescent="0.25">
      <c r="G13" s="30"/>
      <c r="H13" s="71"/>
      <c r="W13" s="131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5">
        <f t="shared" si="1"/>
        <v>-1.296768707482987E-2</v>
      </c>
    </row>
    <row r="14" spans="1:31" x14ac:dyDescent="0.25">
      <c r="G14" s="30"/>
      <c r="H14" s="71"/>
      <c r="W14" s="131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5">
        <f t="shared" si="1"/>
        <v>-3.3898305084746339E-3</v>
      </c>
    </row>
    <row r="15" spans="1:31" x14ac:dyDescent="0.25">
      <c r="G15" s="30"/>
      <c r="H15" s="71"/>
      <c r="W15" s="131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5">
        <f t="shared" si="1"/>
        <v>1.559978483055402E-2</v>
      </c>
    </row>
    <row r="16" spans="1:31" x14ac:dyDescent="0.25">
      <c r="G16" s="30"/>
      <c r="H16" s="71"/>
      <c r="W16" s="131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5">
        <f t="shared" si="1"/>
        <v>-1.0643959552953719E-2</v>
      </c>
    </row>
    <row r="17" spans="1:31" x14ac:dyDescent="0.25">
      <c r="G17" s="30"/>
      <c r="W17" s="131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5">
        <f t="shared" si="1"/>
        <v>9.5887492009372188E-4</v>
      </c>
    </row>
    <row r="18" spans="1:31" x14ac:dyDescent="0.25">
      <c r="A18" s="32" t="s">
        <v>81</v>
      </c>
      <c r="B18" s="50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5">
        <f t="shared" si="1"/>
        <v>2.7777777777777679E-3</v>
      </c>
    </row>
    <row r="19" spans="1:31" ht="15.75" thickBot="1" x14ac:dyDescent="0.3">
      <c r="A19" s="351" t="s">
        <v>195</v>
      </c>
      <c r="B19" s="501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5">
        <f t="shared" si="1"/>
        <v>9.2732370066852532E-3</v>
      </c>
    </row>
    <row r="20" spans="1:31" x14ac:dyDescent="0.25">
      <c r="W20" s="131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5">
        <f t="shared" si="1"/>
        <v>-3.438641736514203E-3</v>
      </c>
    </row>
    <row r="21" spans="1:31" x14ac:dyDescent="0.25">
      <c r="W21" s="131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5">
        <f t="shared" si="1"/>
        <v>3.942812465095491E-2</v>
      </c>
    </row>
    <row r="22" spans="1:31" x14ac:dyDescent="0.25">
      <c r="W22" s="131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5">
        <f t="shared" si="1"/>
        <v>-1.1155290479346158E-2</v>
      </c>
    </row>
    <row r="23" spans="1:31" x14ac:dyDescent="0.25">
      <c r="W23" s="131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5">
        <f t="shared" si="1"/>
        <v>6.5591995553084814E-3</v>
      </c>
    </row>
    <row r="24" spans="1:31" x14ac:dyDescent="0.25">
      <c r="B24" s="502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J24" s="226" t="s">
        <v>150</v>
      </c>
      <c r="W24" s="131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5">
        <f t="shared" si="1"/>
        <v>-2.6936391172652452E-2</v>
      </c>
    </row>
    <row r="25" spans="1:31" x14ac:dyDescent="0.25">
      <c r="B25" s="154"/>
      <c r="C25" s="10"/>
      <c r="D25" s="40"/>
      <c r="E25" s="40"/>
      <c r="F25" s="40"/>
      <c r="G25" s="40"/>
      <c r="H25" s="228"/>
      <c r="I25" s="40"/>
      <c r="J25" s="40"/>
      <c r="W25" s="131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5">
        <f t="shared" si="1"/>
        <v>-9.8543273350470972E-3</v>
      </c>
    </row>
    <row r="26" spans="1:31" x14ac:dyDescent="0.25">
      <c r="B26" s="154"/>
      <c r="C26" s="10"/>
      <c r="D26" s="40"/>
      <c r="E26" s="40"/>
      <c r="F26" s="40"/>
      <c r="G26" s="40"/>
      <c r="H26" s="228"/>
      <c r="I26" s="40"/>
      <c r="J26" s="40"/>
      <c r="W26" s="131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5">
        <f t="shared" si="1"/>
        <v>-6.1741537151372983E-3</v>
      </c>
    </row>
    <row r="27" spans="1:31" x14ac:dyDescent="0.25">
      <c r="B27" s="154"/>
      <c r="C27" s="10"/>
      <c r="D27" s="40"/>
      <c r="E27" s="40"/>
      <c r="F27" s="40"/>
      <c r="G27" s="40"/>
      <c r="H27" s="228"/>
      <c r="I27" s="40"/>
      <c r="J27" s="40"/>
      <c r="W27" s="131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5">
        <f t="shared" si="1"/>
        <v>-1.0633772862612689E-3</v>
      </c>
    </row>
    <row r="28" spans="1:31" x14ac:dyDescent="0.25">
      <c r="B28" s="154"/>
      <c r="C28" s="10"/>
      <c r="D28" s="40"/>
      <c r="E28" s="40"/>
      <c r="F28" s="40"/>
      <c r="G28" s="40"/>
      <c r="H28" s="228"/>
      <c r="I28" s="40"/>
      <c r="J28" s="40"/>
      <c r="W28" s="131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5">
        <f t="shared" si="1"/>
        <v>-6.5497570251424886E-3</v>
      </c>
    </row>
    <row r="29" spans="1:31" x14ac:dyDescent="0.25">
      <c r="B29" s="154"/>
      <c r="C29" s="10"/>
      <c r="D29" s="40"/>
      <c r="E29" s="40"/>
      <c r="F29" s="40"/>
      <c r="G29" s="40"/>
      <c r="H29" s="228"/>
      <c r="I29" s="40"/>
      <c r="J29" s="40"/>
      <c r="W29" s="131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5">
        <f t="shared" si="1"/>
        <v>-1.0552975939215337E-3</v>
      </c>
    </row>
    <row r="30" spans="1:31" x14ac:dyDescent="0.25">
      <c r="B30" s="154"/>
      <c r="C30" s="10"/>
      <c r="D30" s="40"/>
      <c r="E30" s="40"/>
      <c r="F30" s="40"/>
      <c r="G30" s="40"/>
      <c r="H30" s="228"/>
      <c r="I30" s="40"/>
      <c r="J30" s="40"/>
      <c r="W30" s="131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5">
        <f t="shared" si="1"/>
        <v>-9.822361546499403E-3</v>
      </c>
    </row>
    <row r="31" spans="1:31" x14ac:dyDescent="0.25">
      <c r="B31" s="154"/>
      <c r="C31" s="10"/>
      <c r="D31" s="40"/>
      <c r="E31" s="40"/>
      <c r="F31" s="40"/>
      <c r="G31" s="40"/>
      <c r="H31" s="228"/>
      <c r="I31" s="40"/>
      <c r="J31" s="40"/>
      <c r="W31" s="131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5">
        <f t="shared" si="1"/>
        <v>3.7848389545602545E-2</v>
      </c>
    </row>
    <row r="32" spans="1:31" x14ac:dyDescent="0.25">
      <c r="B32" s="154"/>
      <c r="C32" s="10"/>
      <c r="D32" s="40"/>
      <c r="E32" s="40"/>
      <c r="F32" s="40"/>
      <c r="G32" s="40"/>
      <c r="H32" s="228"/>
      <c r="I32" s="40"/>
      <c r="J32" s="40"/>
      <c r="W32" s="131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5">
        <f t="shared" si="1"/>
        <v>-4.9638502212151492E-3</v>
      </c>
    </row>
    <row r="33" spans="2:31" x14ac:dyDescent="0.25">
      <c r="B33" s="154"/>
      <c r="C33" s="10"/>
      <c r="D33" s="40"/>
      <c r="E33" s="40"/>
      <c r="F33" s="40"/>
      <c r="G33" s="40"/>
      <c r="H33" s="228"/>
      <c r="I33" s="233"/>
      <c r="J33" s="233"/>
      <c r="W33" s="131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5">
        <f t="shared" si="1"/>
        <v>3.2649877423668539E-2</v>
      </c>
    </row>
    <row r="34" spans="2:31" x14ac:dyDescent="0.25">
      <c r="B34" s="154"/>
      <c r="C34" s="10"/>
      <c r="D34" s="40"/>
      <c r="E34" s="40"/>
      <c r="F34" s="40"/>
      <c r="G34" s="40"/>
      <c r="H34" s="228"/>
      <c r="I34" s="40"/>
      <c r="J34" s="40"/>
      <c r="W34" s="131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5">
        <f t="shared" si="1"/>
        <v>-2.1127543645058644E-3</v>
      </c>
    </row>
    <row r="35" spans="2:31" x14ac:dyDescent="0.25">
      <c r="B35" s="154"/>
      <c r="C35" s="10"/>
      <c r="D35" s="40"/>
      <c r="E35" s="40"/>
      <c r="F35" s="40"/>
      <c r="G35" s="40"/>
      <c r="H35" s="228"/>
      <c r="I35" s="40"/>
      <c r="J35" s="40"/>
      <c r="W35" s="131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5">
        <f t="shared" si="1"/>
        <v>-4.2077289336728274E-3</v>
      </c>
    </row>
    <row r="36" spans="2:31" x14ac:dyDescent="0.25">
      <c r="B36" s="154"/>
      <c r="C36" s="10"/>
      <c r="D36" s="40"/>
      <c r="E36" s="40"/>
      <c r="F36" s="40"/>
      <c r="G36" s="40"/>
      <c r="H36" s="228"/>
      <c r="I36" s="40"/>
      <c r="J36" s="40"/>
      <c r="W36" s="131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5">
        <f t="shared" si="1"/>
        <v>9.1630349759750374E-3</v>
      </c>
    </row>
    <row r="37" spans="2:31" x14ac:dyDescent="0.25">
      <c r="B37" s="154"/>
      <c r="C37" s="10"/>
      <c r="D37" s="40"/>
      <c r="E37" s="40"/>
      <c r="F37" s="40"/>
      <c r="G37" s="40"/>
      <c r="H37" s="228"/>
      <c r="I37" s="40"/>
      <c r="J37" s="40"/>
      <c r="W37" s="131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5">
        <f t="shared" si="1"/>
        <v>-5.2245442418852317E-3</v>
      </c>
    </row>
    <row r="38" spans="2:31" x14ac:dyDescent="0.25">
      <c r="B38" s="154"/>
      <c r="C38" s="10"/>
      <c r="D38" s="40"/>
      <c r="E38" s="40"/>
      <c r="F38" s="40"/>
      <c r="G38" s="40"/>
      <c r="H38" s="228"/>
      <c r="I38" s="40"/>
      <c r="J38" s="40"/>
      <c r="W38" s="131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5">
        <f t="shared" si="1"/>
        <v>-4.2063316360417824E-3</v>
      </c>
    </row>
    <row r="39" spans="2:31" x14ac:dyDescent="0.25">
      <c r="B39" s="154"/>
      <c r="C39" s="10"/>
      <c r="D39" s="40"/>
      <c r="E39" s="40"/>
      <c r="F39" s="40"/>
      <c r="G39" s="40"/>
      <c r="H39" s="228"/>
      <c r="I39" s="40"/>
      <c r="J39" s="40"/>
      <c r="W39" s="131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5">
        <f t="shared" si="1"/>
        <v>-5.285179475886248E-3</v>
      </c>
    </row>
    <row r="40" spans="2:31" ht="20.25" thickBot="1" x14ac:dyDescent="0.35">
      <c r="B40" s="154"/>
      <c r="C40" s="10"/>
      <c r="D40" s="40"/>
      <c r="E40" s="40"/>
      <c r="F40" s="40"/>
      <c r="G40" s="40"/>
      <c r="H40" s="228"/>
      <c r="I40" s="40"/>
      <c r="J40" s="40"/>
      <c r="O40" s="716" t="s">
        <v>78</v>
      </c>
      <c r="P40" s="716"/>
      <c r="W40" s="131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5">
        <f t="shared" si="1"/>
        <v>-1.1009578333154302E-4</v>
      </c>
    </row>
    <row r="41" spans="2:31" ht="15.75" thickTop="1" x14ac:dyDescent="0.25">
      <c r="B41" s="154"/>
      <c r="C41" s="10"/>
      <c r="D41" s="40"/>
      <c r="E41" s="40"/>
      <c r="F41" s="40"/>
      <c r="G41" s="40"/>
      <c r="H41" s="228"/>
      <c r="I41" s="40"/>
      <c r="J41" s="40"/>
      <c r="O41" s="82">
        <v>1.1000000000000001</v>
      </c>
      <c r="P41" s="82">
        <f>O41*$Q$4</f>
        <v>126.313</v>
      </c>
      <c r="Q41" s="2"/>
      <c r="W41" s="131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5">
        <f t="shared" si="1"/>
        <v>1.3228971447469817E-3</v>
      </c>
    </row>
    <row r="42" spans="2:31" ht="20.25" thickBot="1" x14ac:dyDescent="0.35">
      <c r="B42" s="154"/>
      <c r="C42" s="10"/>
      <c r="D42" s="40"/>
      <c r="E42" s="40"/>
      <c r="F42" s="40"/>
      <c r="G42" s="40"/>
      <c r="H42" s="228"/>
      <c r="I42" s="40"/>
      <c r="J42" s="40"/>
      <c r="O42" s="82">
        <v>1.0900000000000001</v>
      </c>
      <c r="P42" s="82">
        <f t="shared" ref="P42:P61" si="2">O42*$Q$4</f>
        <v>125.16470000000001</v>
      </c>
      <c r="Q42" s="2"/>
      <c r="T42" s="90" t="s">
        <v>112</v>
      </c>
      <c r="W42" s="131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5">
        <f t="shared" si="1"/>
        <v>9.3468343162343981E-3</v>
      </c>
    </row>
    <row r="43" spans="2:31" ht="15.75" thickTop="1" x14ac:dyDescent="0.25">
      <c r="B43" s="154"/>
      <c r="C43" s="10"/>
      <c r="D43" s="40"/>
      <c r="E43" s="40"/>
      <c r="F43" s="40"/>
      <c r="G43" s="40"/>
      <c r="H43" s="228"/>
      <c r="I43" s="40"/>
      <c r="J43" s="40"/>
      <c r="O43" s="82">
        <v>1.08</v>
      </c>
      <c r="P43" s="82">
        <f t="shared" si="2"/>
        <v>124.0164</v>
      </c>
      <c r="Q43" s="2"/>
      <c r="T43" s="126" t="s">
        <v>97</v>
      </c>
      <c r="U43" s="127">
        <v>93.1</v>
      </c>
      <c r="W43" s="131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5">
        <f t="shared" si="1"/>
        <v>-6.6320327180280358E-3</v>
      </c>
    </row>
    <row r="44" spans="2:31" x14ac:dyDescent="0.25">
      <c r="B44" s="154"/>
      <c r="C44" s="10"/>
      <c r="D44" s="40"/>
      <c r="E44" s="40"/>
      <c r="F44" s="40"/>
      <c r="G44" s="40"/>
      <c r="H44" s="228"/>
      <c r="I44" s="40"/>
      <c r="J44" s="40"/>
      <c r="O44" s="82">
        <v>1.07</v>
      </c>
      <c r="P44" s="82">
        <f t="shared" si="2"/>
        <v>122.8681</v>
      </c>
      <c r="Q44" s="2"/>
      <c r="T44" s="92" t="s">
        <v>98</v>
      </c>
      <c r="U44" s="128">
        <v>93.27</v>
      </c>
      <c r="W44" s="131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5">
        <f t="shared" si="1"/>
        <v>8.2469631115569264E-3</v>
      </c>
    </row>
    <row r="45" spans="2:31" x14ac:dyDescent="0.25">
      <c r="B45" s="154"/>
      <c r="C45" s="10"/>
      <c r="D45" s="40"/>
      <c r="E45" s="40"/>
      <c r="F45" s="40"/>
      <c r="G45" s="40"/>
      <c r="H45" s="228"/>
      <c r="I45" s="40"/>
      <c r="J45" s="40"/>
      <c r="O45" s="82">
        <v>1.06</v>
      </c>
      <c r="P45" s="82">
        <f t="shared" si="2"/>
        <v>121.71980000000001</v>
      </c>
      <c r="Q45" s="2"/>
      <c r="T45" s="92" t="s">
        <v>99</v>
      </c>
      <c r="U45" s="128" t="s">
        <v>128</v>
      </c>
      <c r="W45" s="131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5">
        <f t="shared" si="1"/>
        <v>-8.4574576617016839E-2</v>
      </c>
    </row>
    <row r="46" spans="2:31" x14ac:dyDescent="0.25">
      <c r="B46" s="154"/>
      <c r="C46" s="10"/>
      <c r="D46" s="40"/>
      <c r="E46" s="40"/>
      <c r="F46" s="40"/>
      <c r="G46" s="40"/>
      <c r="H46" s="228"/>
      <c r="I46" s="40"/>
      <c r="J46" s="40"/>
      <c r="O46" s="82">
        <v>1.05</v>
      </c>
      <c r="P46" s="82">
        <f t="shared" si="2"/>
        <v>120.5715</v>
      </c>
      <c r="Q46" s="2"/>
      <c r="T46" s="92" t="s">
        <v>100</v>
      </c>
      <c r="U46" s="128" t="s">
        <v>128</v>
      </c>
      <c r="W46" s="131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5">
        <f t="shared" si="1"/>
        <v>1.849542809642557E-2</v>
      </c>
    </row>
    <row r="47" spans="2:31" x14ac:dyDescent="0.25">
      <c r="B47" s="154"/>
      <c r="C47" s="10"/>
      <c r="D47" s="40"/>
      <c r="E47" s="40"/>
      <c r="F47" s="40"/>
      <c r="G47" s="40"/>
      <c r="H47" s="228"/>
      <c r="I47" s="233"/>
      <c r="J47" s="233"/>
      <c r="O47" s="82">
        <v>1.04</v>
      </c>
      <c r="P47" s="82">
        <f t="shared" si="2"/>
        <v>119.42320000000001</v>
      </c>
      <c r="Q47" s="2"/>
      <c r="T47" s="92" t="s">
        <v>101</v>
      </c>
      <c r="U47" s="128">
        <v>115.9</v>
      </c>
      <c r="W47" s="131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5">
        <f t="shared" si="1"/>
        <v>-2.3841608790298174E-3</v>
      </c>
    </row>
    <row r="48" spans="2:31" x14ac:dyDescent="0.25">
      <c r="B48" s="154"/>
      <c r="C48" s="10"/>
      <c r="D48" s="40"/>
      <c r="E48" s="40"/>
      <c r="F48" s="40"/>
      <c r="G48" s="40"/>
      <c r="H48" s="228"/>
      <c r="I48" s="40"/>
      <c r="J48" s="40"/>
      <c r="O48" s="82">
        <v>1.03</v>
      </c>
      <c r="P48" s="82">
        <f t="shared" si="2"/>
        <v>118.2749</v>
      </c>
      <c r="Q48" s="2"/>
      <c r="T48" s="92" t="s">
        <v>102</v>
      </c>
      <c r="U48" s="128">
        <v>0.80916999999999994</v>
      </c>
      <c r="W48" s="131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5">
        <f t="shared" si="1"/>
        <v>-8.5303186022610555E-3</v>
      </c>
    </row>
    <row r="49" spans="2:31" x14ac:dyDescent="0.25">
      <c r="B49" s="154"/>
      <c r="C49" s="10"/>
      <c r="D49" s="40"/>
      <c r="E49" s="40"/>
      <c r="F49" s="40"/>
      <c r="G49" s="40"/>
      <c r="H49" s="228"/>
      <c r="I49" s="40"/>
      <c r="J49" s="40"/>
      <c r="O49" s="82">
        <v>1.02</v>
      </c>
      <c r="P49" s="82">
        <f t="shared" si="2"/>
        <v>117.1266</v>
      </c>
      <c r="Q49" s="2"/>
      <c r="T49" s="92" t="s">
        <v>121</v>
      </c>
      <c r="U49" s="128" t="s">
        <v>407</v>
      </c>
      <c r="W49" s="131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5">
        <f t="shared" si="1"/>
        <v>2.2810890360559277E-2</v>
      </c>
    </row>
    <row r="50" spans="2:31" x14ac:dyDescent="0.25">
      <c r="B50" s="154"/>
      <c r="C50" s="10"/>
      <c r="D50" s="40"/>
      <c r="E50" s="40"/>
      <c r="F50" s="40"/>
      <c r="G50" s="40"/>
      <c r="H50" s="228"/>
      <c r="I50" s="40"/>
      <c r="J50" s="40"/>
      <c r="O50" s="82">
        <v>1.01</v>
      </c>
      <c r="P50" s="82">
        <f t="shared" si="2"/>
        <v>115.9783</v>
      </c>
      <c r="Q50" s="2"/>
      <c r="T50" s="92"/>
      <c r="U50" s="128"/>
      <c r="W50" s="131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5">
        <f t="shared" si="1"/>
        <v>-9.578344612181211E-3</v>
      </c>
    </row>
    <row r="51" spans="2:31" x14ac:dyDescent="0.25">
      <c r="B51" s="154"/>
      <c r="C51" s="10"/>
      <c r="D51" s="40"/>
      <c r="E51" s="40"/>
      <c r="F51" s="40"/>
      <c r="G51" s="40"/>
      <c r="H51" s="228"/>
      <c r="I51" s="40"/>
      <c r="J51" s="40"/>
      <c r="O51" s="82">
        <v>1</v>
      </c>
      <c r="P51" s="82">
        <f t="shared" si="2"/>
        <v>114.83</v>
      </c>
      <c r="Q51" s="2"/>
      <c r="T51" s="92" t="s">
        <v>104</v>
      </c>
      <c r="U51" s="128" t="s">
        <v>653</v>
      </c>
      <c r="W51" s="131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5">
        <f t="shared" si="1"/>
        <v>1.7478813559322015E-2</v>
      </c>
    </row>
    <row r="52" spans="2:31" x14ac:dyDescent="0.25">
      <c r="B52" s="154"/>
      <c r="C52" s="10"/>
      <c r="D52" s="40"/>
      <c r="E52" s="40"/>
      <c r="F52" s="40"/>
      <c r="G52" s="40"/>
      <c r="H52" s="228"/>
      <c r="I52" s="40"/>
      <c r="J52" s="40"/>
      <c r="O52" s="82">
        <v>0.99</v>
      </c>
      <c r="P52" s="82">
        <f t="shared" si="2"/>
        <v>113.68169999999999</v>
      </c>
      <c r="Q52" s="2"/>
      <c r="T52" s="92" t="s">
        <v>105</v>
      </c>
      <c r="U52" s="128" t="s">
        <v>440</v>
      </c>
      <c r="W52" s="131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5">
        <f t="shared" si="1"/>
        <v>-6.3157894736841635E-3</v>
      </c>
    </row>
    <row r="53" spans="2:31" x14ac:dyDescent="0.25">
      <c r="B53" s="154"/>
      <c r="C53" s="10"/>
      <c r="D53" s="40"/>
      <c r="E53" s="40"/>
      <c r="F53" s="40"/>
      <c r="G53" s="40"/>
      <c r="H53" s="228"/>
      <c r="I53" s="40"/>
      <c r="J53" s="40"/>
      <c r="O53" s="82">
        <v>0.98</v>
      </c>
      <c r="P53" s="82">
        <f t="shared" si="2"/>
        <v>112.5334</v>
      </c>
      <c r="Q53" s="2"/>
      <c r="T53" s="92" t="s">
        <v>106</v>
      </c>
      <c r="U53" s="129">
        <v>1827980</v>
      </c>
      <c r="W53" s="131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5">
        <f t="shared" si="1"/>
        <v>-5.3397549994765869E-3</v>
      </c>
    </row>
    <row r="54" spans="2:31" x14ac:dyDescent="0.25">
      <c r="B54" s="154"/>
      <c r="C54" s="10"/>
      <c r="D54" s="40"/>
      <c r="E54" s="40"/>
      <c r="F54" s="40"/>
      <c r="G54" s="40"/>
      <c r="H54" s="228"/>
      <c r="I54" s="40"/>
      <c r="J54" s="40"/>
      <c r="O54" s="82">
        <v>0.97</v>
      </c>
      <c r="P54" s="82">
        <f t="shared" si="2"/>
        <v>111.38509999999999</v>
      </c>
      <c r="T54" s="92" t="s">
        <v>109</v>
      </c>
      <c r="U54" s="129">
        <v>2259750</v>
      </c>
      <c r="W54" s="131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5">
        <f t="shared" si="1"/>
        <v>-8.1005296500156199E-3</v>
      </c>
    </row>
    <row r="55" spans="2:31" x14ac:dyDescent="0.25">
      <c r="B55" s="154"/>
      <c r="C55" s="10"/>
      <c r="D55" s="40"/>
      <c r="E55" s="40"/>
      <c r="F55" s="40"/>
      <c r="G55" s="40"/>
      <c r="H55" s="228"/>
      <c r="I55" s="40"/>
      <c r="J55" s="40"/>
      <c r="O55" s="82">
        <v>0.96</v>
      </c>
      <c r="P55" s="82">
        <f t="shared" si="2"/>
        <v>110.23679999999999</v>
      </c>
      <c r="T55" s="92" t="s">
        <v>107</v>
      </c>
      <c r="U55" s="128" t="s">
        <v>654</v>
      </c>
      <c r="W55" s="131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5">
        <f t="shared" si="1"/>
        <v>5.2197515398266781E-3</v>
      </c>
    </row>
    <row r="56" spans="2:31" x14ac:dyDescent="0.25">
      <c r="B56" s="154"/>
      <c r="C56" s="10"/>
      <c r="D56" s="40"/>
      <c r="E56" s="40"/>
      <c r="F56" s="40"/>
      <c r="G56" s="40"/>
      <c r="H56" s="228"/>
      <c r="I56" s="40"/>
      <c r="J56" s="40"/>
      <c r="O56" s="82">
        <v>0.95</v>
      </c>
      <c r="P56" s="82">
        <f t="shared" si="2"/>
        <v>109.0885</v>
      </c>
      <c r="T56" s="92" t="s">
        <v>110</v>
      </c>
      <c r="U56" s="128">
        <v>35.67</v>
      </c>
      <c r="W56" s="131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5">
        <f t="shared" si="1"/>
        <v>-1.1251032204789291E-2</v>
      </c>
    </row>
    <row r="57" spans="2:31" x14ac:dyDescent="0.25">
      <c r="B57" s="154"/>
      <c r="C57" s="10"/>
      <c r="D57" s="40"/>
      <c r="E57" s="40"/>
      <c r="F57" s="40"/>
      <c r="G57" s="40"/>
      <c r="H57" s="228"/>
      <c r="I57" s="40"/>
      <c r="J57" s="40"/>
      <c r="O57" s="82">
        <v>0.94</v>
      </c>
      <c r="P57" s="82">
        <f t="shared" si="2"/>
        <v>107.94019999999999</v>
      </c>
      <c r="T57" s="92" t="s">
        <v>111</v>
      </c>
      <c r="U57" s="128">
        <v>2.61</v>
      </c>
      <c r="W57" s="131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5">
        <f t="shared" si="1"/>
        <v>-2.5738700710388196E-3</v>
      </c>
    </row>
    <row r="58" spans="2:31" x14ac:dyDescent="0.25">
      <c r="B58" s="154"/>
      <c r="C58" s="10"/>
      <c r="D58" s="40"/>
      <c r="E58" s="40"/>
      <c r="F58" s="40"/>
      <c r="G58" s="40"/>
      <c r="H58" s="228"/>
      <c r="I58" s="40"/>
      <c r="J58" s="40"/>
      <c r="O58" s="82">
        <v>0.93</v>
      </c>
      <c r="P58" s="82">
        <f t="shared" si="2"/>
        <v>106.7919</v>
      </c>
      <c r="T58" s="92" t="s">
        <v>108</v>
      </c>
      <c r="U58" s="128" t="s">
        <v>122</v>
      </c>
      <c r="W58" s="131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5">
        <f t="shared" si="1"/>
        <v>-4.7135977046829369E-3</v>
      </c>
    </row>
    <row r="59" spans="2:31" x14ac:dyDescent="0.25">
      <c r="B59" s="154"/>
      <c r="C59" s="10"/>
      <c r="D59" s="40"/>
      <c r="E59" s="40"/>
      <c r="F59" s="40"/>
      <c r="G59" s="40"/>
      <c r="H59" s="228"/>
      <c r="I59" s="40"/>
      <c r="J59" s="40"/>
      <c r="O59" s="82">
        <v>0.92</v>
      </c>
      <c r="P59" s="82">
        <f t="shared" si="2"/>
        <v>105.64360000000001</v>
      </c>
      <c r="W59" s="131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5">
        <f t="shared" si="1"/>
        <v>-1.0745058286872777E-2</v>
      </c>
    </row>
    <row r="60" spans="2:31" x14ac:dyDescent="0.25">
      <c r="B60" s="154"/>
      <c r="C60" s="10"/>
      <c r="D60" s="40"/>
      <c r="E60" s="40"/>
      <c r="F60" s="40"/>
      <c r="G60" s="40"/>
      <c r="H60" s="228"/>
      <c r="I60" s="40"/>
      <c r="J60" s="40"/>
      <c r="O60" s="82">
        <v>0.91</v>
      </c>
      <c r="P60" s="82">
        <f t="shared" si="2"/>
        <v>104.4953</v>
      </c>
      <c r="W60" s="131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5">
        <f t="shared" si="1"/>
        <v>-4.942505547710252E-3</v>
      </c>
    </row>
    <row r="61" spans="2:31" x14ac:dyDescent="0.25">
      <c r="B61" s="154"/>
      <c r="C61" s="10"/>
      <c r="D61" s="40"/>
      <c r="E61" s="40"/>
      <c r="F61" s="40"/>
      <c r="G61" s="40"/>
      <c r="H61" s="228"/>
      <c r="I61" s="40"/>
      <c r="J61" s="40"/>
      <c r="O61" s="82">
        <v>0.9</v>
      </c>
      <c r="P61" s="82">
        <f t="shared" si="2"/>
        <v>103.34699999999999</v>
      </c>
      <c r="W61" s="131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5">
        <f t="shared" si="1"/>
        <v>1.2149055640632955E-2</v>
      </c>
    </row>
    <row r="62" spans="2:31" x14ac:dyDescent="0.25">
      <c r="B62" s="154"/>
      <c r="C62" s="10"/>
      <c r="D62" s="40"/>
      <c r="E62" s="40"/>
      <c r="F62" s="40"/>
      <c r="G62" s="40"/>
      <c r="H62" s="228"/>
      <c r="I62" s="40"/>
      <c r="J62" s="40"/>
      <c r="W62" s="131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5">
        <f t="shared" si="1"/>
        <v>9.0656227464718242E-3</v>
      </c>
    </row>
    <row r="63" spans="2:31" x14ac:dyDescent="0.25">
      <c r="B63" s="154"/>
      <c r="C63" s="10"/>
      <c r="D63" s="40"/>
      <c r="E63" s="40"/>
      <c r="F63" s="40"/>
      <c r="G63" s="40"/>
      <c r="H63" s="228"/>
      <c r="I63" s="40"/>
      <c r="J63" s="40"/>
      <c r="W63" s="131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5">
        <f t="shared" si="1"/>
        <v>-1.2346949274617547E-3</v>
      </c>
    </row>
    <row r="64" spans="2:31" x14ac:dyDescent="0.25">
      <c r="B64" s="154"/>
      <c r="C64" s="10"/>
      <c r="D64" s="40"/>
      <c r="E64" s="40"/>
      <c r="F64" s="40"/>
      <c r="G64" s="40"/>
      <c r="H64" s="228"/>
      <c r="I64" s="40"/>
      <c r="J64" s="40"/>
      <c r="W64" s="131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5">
        <f t="shared" si="1"/>
        <v>6.7329604309094293E-3</v>
      </c>
    </row>
    <row r="65" spans="1:31" x14ac:dyDescent="0.25">
      <c r="B65" s="154"/>
      <c r="C65" s="10"/>
      <c r="D65" s="40"/>
      <c r="E65" s="40"/>
      <c r="F65" s="40"/>
      <c r="G65" s="40"/>
      <c r="H65" s="228"/>
      <c r="I65" s="40"/>
      <c r="J65" s="40"/>
      <c r="W65" s="131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5">
        <f t="shared" si="1"/>
        <v>1.0678391959799027E-2</v>
      </c>
    </row>
    <row r="66" spans="1:31" x14ac:dyDescent="0.25">
      <c r="B66" s="154"/>
      <c r="C66" s="10"/>
      <c r="D66" s="40"/>
      <c r="E66" s="40"/>
      <c r="F66" s="40"/>
      <c r="G66" s="40"/>
      <c r="H66" s="228"/>
      <c r="I66" s="40"/>
      <c r="J66" s="40"/>
      <c r="W66" s="131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5">
        <f t="shared" si="1"/>
        <v>1.9423692636072465E-2</v>
      </c>
    </row>
    <row r="67" spans="1:31" x14ac:dyDescent="0.25">
      <c r="B67" s="154"/>
      <c r="C67" s="10"/>
      <c r="D67" s="40"/>
      <c r="E67" s="40"/>
      <c r="F67" s="40"/>
      <c r="G67" s="40"/>
      <c r="H67" s="228"/>
      <c r="I67" s="40"/>
      <c r="J67" s="40"/>
      <c r="W67" s="131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5" t="e">
        <f>AC67/#REF!-1</f>
        <v>#REF!</v>
      </c>
    </row>
    <row r="68" spans="1:31" x14ac:dyDescent="0.25">
      <c r="B68" s="154"/>
      <c r="C68" s="10"/>
      <c r="D68" s="40"/>
      <c r="E68" s="40"/>
      <c r="F68" s="40"/>
      <c r="G68" s="40"/>
      <c r="H68" s="228"/>
      <c r="I68" s="40"/>
      <c r="J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B69" s="154"/>
      <c r="C69" s="10"/>
      <c r="D69" s="40"/>
      <c r="E69" s="40"/>
      <c r="F69" s="40"/>
      <c r="G69" s="40"/>
      <c r="H69" s="228"/>
      <c r="I69" s="40"/>
      <c r="J69" s="40"/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0" t="s">
        <v>1</v>
      </c>
      <c r="B72" s="573" t="s">
        <v>2</v>
      </c>
      <c r="C72" s="260" t="s">
        <v>4</v>
      </c>
      <c r="D72" s="261" t="s">
        <v>5</v>
      </c>
      <c r="E72" s="261" t="s">
        <v>94</v>
      </c>
      <c r="F72" s="261" t="s">
        <v>60</v>
      </c>
      <c r="G72" s="260" t="s">
        <v>3</v>
      </c>
      <c r="H72" s="260" t="s">
        <v>6</v>
      </c>
      <c r="I72" s="261" t="s">
        <v>7</v>
      </c>
      <c r="J72" s="261" t="s">
        <v>95</v>
      </c>
      <c r="K72" s="261" t="s">
        <v>61</v>
      </c>
      <c r="L72" s="260" t="s">
        <v>37</v>
      </c>
      <c r="M72" s="260" t="s">
        <v>38</v>
      </c>
    </row>
    <row r="73" spans="1:31" x14ac:dyDescent="0.25">
      <c r="A73" s="262" t="s">
        <v>319</v>
      </c>
      <c r="B73" s="574">
        <v>42704</v>
      </c>
      <c r="C73" s="258">
        <v>40</v>
      </c>
      <c r="D73" s="259">
        <v>83.05</v>
      </c>
      <c r="E73" s="259">
        <v>0</v>
      </c>
      <c r="F73" s="259">
        <f>C73*D73+E73</f>
        <v>3322</v>
      </c>
      <c r="G73" s="574">
        <v>42739</v>
      </c>
      <c r="H73" s="264">
        <v>40</v>
      </c>
      <c r="I73" s="259">
        <v>96.5</v>
      </c>
      <c r="J73" s="259">
        <v>0.08</v>
      </c>
      <c r="K73" s="259">
        <f>I73*H73-J73</f>
        <v>3859.92</v>
      </c>
      <c r="L73" s="263"/>
      <c r="M73" s="259"/>
    </row>
    <row r="74" spans="1:31" x14ac:dyDescent="0.25">
      <c r="A74" s="265" t="s">
        <v>71</v>
      </c>
      <c r="B74" s="669">
        <v>42768</v>
      </c>
      <c r="C74" s="657">
        <v>40</v>
      </c>
      <c r="D74" s="655">
        <v>91.52</v>
      </c>
      <c r="E74" s="655">
        <v>0</v>
      </c>
      <c r="F74" s="655">
        <f>D74*C74+E74</f>
        <v>3660.7999999999997</v>
      </c>
      <c r="G74" s="669">
        <v>42803</v>
      </c>
      <c r="H74" s="657">
        <v>20</v>
      </c>
      <c r="I74" s="655">
        <v>91.58</v>
      </c>
      <c r="J74" s="655">
        <v>0.04</v>
      </c>
      <c r="K74" s="655">
        <f>I74*H74-J74</f>
        <v>1831.56</v>
      </c>
      <c r="L74" s="656"/>
      <c r="M74" s="655"/>
    </row>
    <row r="75" spans="1:31" x14ac:dyDescent="0.25">
      <c r="A75" s="258"/>
      <c r="B75" s="669">
        <v>42768</v>
      </c>
      <c r="C75" s="657">
        <v>40</v>
      </c>
      <c r="D75" s="655">
        <v>88.8</v>
      </c>
      <c r="E75" s="655">
        <v>0</v>
      </c>
      <c r="F75" s="655">
        <f>D75*C75+E75</f>
        <v>3552</v>
      </c>
      <c r="G75" s="669">
        <v>42803</v>
      </c>
      <c r="H75" s="667">
        <v>20</v>
      </c>
      <c r="I75" s="655">
        <v>92.2</v>
      </c>
      <c r="J75" s="655">
        <v>0.04</v>
      </c>
      <c r="K75" s="655">
        <f t="shared" ref="K75:K76" si="3">I75*H75-J75</f>
        <v>1843.96</v>
      </c>
      <c r="L75" s="657"/>
      <c r="M75" s="657"/>
    </row>
    <row r="76" spans="1:31" x14ac:dyDescent="0.25">
      <c r="A76" s="258"/>
      <c r="B76" s="669"/>
      <c r="C76" s="657"/>
      <c r="D76" s="655"/>
      <c r="E76" s="655"/>
      <c r="F76" s="655"/>
      <c r="G76" s="669">
        <v>42803</v>
      </c>
      <c r="H76" s="667">
        <v>40</v>
      </c>
      <c r="I76" s="655">
        <v>93</v>
      </c>
      <c r="J76" s="655">
        <v>0.08</v>
      </c>
      <c r="K76" s="655">
        <f t="shared" si="3"/>
        <v>3719.92</v>
      </c>
      <c r="L76" s="657"/>
      <c r="M76" s="657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64"/>
      <c r="I82" s="259"/>
      <c r="J82" s="259"/>
      <c r="K82" s="259"/>
      <c r="L82" s="258"/>
      <c r="M82" s="258"/>
    </row>
    <row r="83" spans="1:13" x14ac:dyDescent="0.25">
      <c r="A83" s="258"/>
      <c r="B83" s="574"/>
      <c r="C83" s="258"/>
      <c r="D83" s="259"/>
      <c r="E83" s="259"/>
      <c r="F83" s="259"/>
      <c r="G83" s="574"/>
      <c r="H83" s="264"/>
      <c r="I83" s="259"/>
      <c r="J83" s="259"/>
      <c r="K83" s="259"/>
      <c r="L83" s="258"/>
      <c r="M83" s="258"/>
    </row>
    <row r="84" spans="1:13" x14ac:dyDescent="0.25">
      <c r="A84" s="258"/>
      <c r="B84" s="574"/>
      <c r="C84" s="258"/>
      <c r="D84" s="259"/>
      <c r="E84" s="259"/>
      <c r="F84" s="259"/>
      <c r="G84" s="574"/>
      <c r="H84" s="264"/>
      <c r="I84" s="259"/>
      <c r="J84" s="259"/>
      <c r="K84" s="259"/>
      <c r="L84" s="258"/>
      <c r="M84" s="258"/>
    </row>
    <row r="85" spans="1:13" x14ac:dyDescent="0.25">
      <c r="A85" s="258"/>
      <c r="B85" s="574"/>
      <c r="C85" s="258"/>
      <c r="D85" s="259"/>
      <c r="E85" s="259"/>
      <c r="F85" s="259"/>
      <c r="G85" s="574"/>
      <c r="H85" s="264"/>
      <c r="I85" s="259"/>
      <c r="J85" s="259"/>
      <c r="K85" s="259"/>
      <c r="L85" s="258"/>
      <c r="M85" s="258"/>
    </row>
    <row r="86" spans="1:13" x14ac:dyDescent="0.25">
      <c r="A86" s="258"/>
      <c r="B86" s="574"/>
      <c r="C86" s="258"/>
      <c r="D86" s="259"/>
      <c r="E86" s="259"/>
      <c r="F86" s="259"/>
      <c r="G86" s="574"/>
      <c r="H86" s="264"/>
      <c r="I86" s="259"/>
      <c r="J86" s="259"/>
      <c r="K86" s="259"/>
      <c r="L86" s="258"/>
      <c r="M86" s="258"/>
    </row>
    <row r="87" spans="1:13" x14ac:dyDescent="0.25">
      <c r="A87" s="258"/>
      <c r="B87" s="574"/>
      <c r="C87" s="258"/>
      <c r="D87" s="259"/>
      <c r="E87" s="259"/>
      <c r="F87" s="259"/>
      <c r="G87" s="574"/>
      <c r="H87" s="264"/>
      <c r="I87" s="259"/>
      <c r="J87" s="259"/>
      <c r="K87" s="259"/>
      <c r="L87" s="258"/>
      <c r="M87" s="258"/>
    </row>
    <row r="88" spans="1:13" x14ac:dyDescent="0.25">
      <c r="A88" s="258"/>
      <c r="B88" s="574"/>
      <c r="C88" s="258"/>
      <c r="D88" s="259"/>
      <c r="E88" s="259"/>
      <c r="F88" s="259"/>
      <c r="G88" s="574"/>
      <c r="H88" s="258"/>
      <c r="I88" s="259"/>
      <c r="J88" s="259"/>
      <c r="K88" s="259"/>
      <c r="L88" s="258"/>
      <c r="M88" s="258"/>
    </row>
    <row r="89" spans="1:13" x14ac:dyDescent="0.25">
      <c r="A89" s="32" t="s">
        <v>81</v>
      </c>
      <c r="B89" s="50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0" t="s">
        <v>195</v>
      </c>
      <c r="B90" s="575"/>
      <c r="C90" s="462">
        <f>SumByColor($A$19,C73:C88)</f>
        <v>0</v>
      </c>
      <c r="D90" s="462"/>
      <c r="E90" s="462"/>
      <c r="F90" s="463">
        <f>SumByColor($A$19,F73:F88)</f>
        <v>0</v>
      </c>
      <c r="G90" s="462"/>
      <c r="H90" s="462">
        <f>SumByColor($A$19,H73:H88)</f>
        <v>0</v>
      </c>
      <c r="I90" s="462"/>
      <c r="J90" s="462"/>
      <c r="K90" s="463">
        <f>SumByColor($A$19,K73:K88)</f>
        <v>0</v>
      </c>
      <c r="L90" s="462"/>
      <c r="M90" s="463">
        <f>SumByColor($A$19,M73:M88)</f>
        <v>0</v>
      </c>
    </row>
    <row r="95" spans="1:13" x14ac:dyDescent="0.25">
      <c r="B95" s="502" t="s">
        <v>113</v>
      </c>
      <c r="C95" s="188" t="s">
        <v>146</v>
      </c>
      <c r="D95" s="189" t="s">
        <v>145</v>
      </c>
      <c r="E95" s="191" t="s">
        <v>147</v>
      </c>
      <c r="F95" s="191" t="s">
        <v>65</v>
      </c>
      <c r="G95" s="226" t="s">
        <v>151</v>
      </c>
      <c r="H95" s="226" t="s">
        <v>88</v>
      </c>
      <c r="I95" s="226" t="s">
        <v>154</v>
      </c>
    </row>
    <row r="96" spans="1:13" x14ac:dyDescent="0.25">
      <c r="B96" s="647">
        <v>42704</v>
      </c>
      <c r="C96" s="376">
        <v>40</v>
      </c>
      <c r="D96" s="377">
        <v>83.05</v>
      </c>
      <c r="E96" s="377">
        <v>82.85</v>
      </c>
      <c r="F96" s="377">
        <f>C96*(E96-D96)</f>
        <v>-8.0000000000001137</v>
      </c>
      <c r="G96" s="377">
        <f>D96*C96</f>
        <v>3322</v>
      </c>
      <c r="H96" s="378">
        <f>(E96-D96)/D96</f>
        <v>-2.4081878386514491E-3</v>
      </c>
      <c r="I96" s="377"/>
    </row>
    <row r="97" spans="1:10" x14ac:dyDescent="0.25">
      <c r="B97" s="647">
        <v>42708</v>
      </c>
      <c r="C97" s="376">
        <v>40</v>
      </c>
      <c r="D97" s="377">
        <v>83.05</v>
      </c>
      <c r="E97" s="377">
        <v>83.35</v>
      </c>
      <c r="F97" s="377">
        <f>C97*(E97-D97)</f>
        <v>11.999999999999886</v>
      </c>
      <c r="G97" s="377">
        <f>D97*C97</f>
        <v>3322</v>
      </c>
      <c r="H97" s="378">
        <f>(E97-D97)/D97</f>
        <v>3.612281757977088E-3</v>
      </c>
      <c r="I97" s="377"/>
    </row>
    <row r="98" spans="1:10" x14ac:dyDescent="0.25">
      <c r="B98" s="647">
        <v>42729</v>
      </c>
      <c r="C98" s="376">
        <v>40</v>
      </c>
      <c r="D98" s="377">
        <v>83.05</v>
      </c>
      <c r="E98" s="377">
        <v>93</v>
      </c>
      <c r="F98" s="377">
        <f>C98*(E98-D98)</f>
        <v>398.00000000000011</v>
      </c>
      <c r="G98" s="377">
        <f>D98*C98</f>
        <v>3322</v>
      </c>
      <c r="H98" s="378">
        <f>(E98-D98)/D98</f>
        <v>0.11980734497290793</v>
      </c>
      <c r="I98" s="377"/>
    </row>
    <row r="99" spans="1:10" x14ac:dyDescent="0.25">
      <c r="B99" s="647">
        <v>42739</v>
      </c>
      <c r="C99" s="376">
        <v>0</v>
      </c>
      <c r="D99" s="377"/>
      <c r="E99" s="377"/>
      <c r="F99" s="377">
        <v>537.91999999999996</v>
      </c>
      <c r="G99" s="377"/>
      <c r="H99" s="378"/>
      <c r="I99" s="377"/>
    </row>
    <row r="100" spans="1:10" x14ac:dyDescent="0.25">
      <c r="A100" t="s">
        <v>368</v>
      </c>
      <c r="B100" s="154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8">
        <f>(E100-D100)/D100</f>
        <v>-4.7692990239573269E-3</v>
      </c>
      <c r="I100" s="40"/>
      <c r="J100" s="40"/>
    </row>
    <row r="101" spans="1:10" x14ac:dyDescent="0.25">
      <c r="A101" t="s">
        <v>368</v>
      </c>
      <c r="B101" s="154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8">
        <f>(E101-D101)/D101</f>
        <v>2.7839396628216561E-2</v>
      </c>
      <c r="I101" s="40"/>
      <c r="J101" s="40"/>
    </row>
    <row r="102" spans="1:10" x14ac:dyDescent="0.25">
      <c r="A102">
        <v>80</v>
      </c>
      <c r="B102" s="154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8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4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8">
        <f t="shared" si="6"/>
        <v>2.0226122248734393E-2</v>
      </c>
      <c r="I103" s="40"/>
      <c r="J103" s="40"/>
    </row>
    <row r="104" spans="1:10" x14ac:dyDescent="0.25">
      <c r="B104" s="154">
        <v>42803</v>
      </c>
      <c r="C104" s="10">
        <v>0</v>
      </c>
      <c r="D104" s="40"/>
      <c r="E104" s="40"/>
      <c r="F104" s="40">
        <v>182.64</v>
      </c>
      <c r="G104" s="40"/>
      <c r="H104" s="228"/>
      <c r="I104" s="40"/>
      <c r="J104" s="40"/>
    </row>
    <row r="105" spans="1:10" x14ac:dyDescent="0.25">
      <c r="B105" s="647"/>
      <c r="C105" s="376"/>
      <c r="D105" s="377"/>
      <c r="E105" s="377"/>
      <c r="F105" s="377"/>
      <c r="G105" s="377"/>
      <c r="H105" s="378"/>
      <c r="I105" s="377"/>
    </row>
    <row r="106" spans="1:10" x14ac:dyDescent="0.25">
      <c r="B106" s="647"/>
      <c r="C106" s="376"/>
      <c r="D106" s="377"/>
      <c r="E106" s="377"/>
      <c r="F106" s="377"/>
      <c r="G106" s="377"/>
      <c r="H106" s="378"/>
      <c r="I106" s="377"/>
    </row>
    <row r="107" spans="1:10" x14ac:dyDescent="0.25">
      <c r="B107" s="647"/>
      <c r="C107" s="376"/>
      <c r="D107" s="377"/>
      <c r="E107" s="377"/>
      <c r="F107" s="377"/>
      <c r="G107" s="377"/>
      <c r="H107" s="378"/>
      <c r="I107" s="377"/>
    </row>
    <row r="108" spans="1:10" x14ac:dyDescent="0.25">
      <c r="B108" s="647"/>
      <c r="C108" s="376"/>
      <c r="D108" s="377"/>
      <c r="E108" s="377"/>
      <c r="F108" s="377"/>
      <c r="G108" s="377"/>
      <c r="H108" s="378"/>
      <c r="I108" s="377"/>
    </row>
    <row r="109" spans="1:10" x14ac:dyDescent="0.25">
      <c r="B109" s="647"/>
      <c r="C109" s="376"/>
      <c r="D109" s="377"/>
      <c r="E109" s="377"/>
      <c r="F109" s="377"/>
      <c r="G109" s="377"/>
      <c r="H109" s="378"/>
      <c r="I109" s="377"/>
    </row>
    <row r="110" spans="1:10" x14ac:dyDescent="0.25">
      <c r="B110" s="647"/>
      <c r="C110" s="376"/>
      <c r="D110" s="377"/>
      <c r="E110" s="377"/>
      <c r="F110" s="377"/>
      <c r="G110" s="377"/>
      <c r="H110" s="378"/>
      <c r="I110" s="377"/>
    </row>
    <row r="111" spans="1:10" x14ac:dyDescent="0.25">
      <c r="B111" s="647"/>
      <c r="C111" s="376"/>
      <c r="D111" s="377"/>
      <c r="E111" s="377"/>
      <c r="F111" s="377"/>
      <c r="G111" s="377"/>
      <c r="H111" s="378"/>
      <c r="I111" s="377"/>
    </row>
    <row r="112" spans="1:10" x14ac:dyDescent="0.25">
      <c r="B112" s="647"/>
      <c r="C112" s="376"/>
      <c r="D112" s="377"/>
      <c r="E112" s="377"/>
      <c r="F112" s="377"/>
      <c r="G112" s="377"/>
      <c r="H112" s="378"/>
      <c r="I112" s="377"/>
    </row>
    <row r="113" spans="2:9" x14ac:dyDescent="0.25">
      <c r="B113" s="647"/>
      <c r="C113" s="376"/>
      <c r="D113" s="377"/>
      <c r="E113" s="377"/>
      <c r="F113" s="377"/>
      <c r="G113" s="377"/>
      <c r="H113" s="378"/>
      <c r="I113" s="377"/>
    </row>
    <row r="114" spans="2:9" x14ac:dyDescent="0.25">
      <c r="B114" s="647"/>
      <c r="C114" s="376"/>
      <c r="D114" s="377"/>
      <c r="E114" s="377"/>
      <c r="F114" s="377"/>
      <c r="G114" s="377"/>
      <c r="H114" s="378"/>
      <c r="I114" s="377"/>
    </row>
    <row r="115" spans="2:9" x14ac:dyDescent="0.25">
      <c r="B115" s="647"/>
      <c r="C115" s="376"/>
      <c r="D115" s="377"/>
      <c r="E115" s="377"/>
      <c r="F115" s="377"/>
      <c r="G115" s="377"/>
      <c r="H115" s="378"/>
      <c r="I115" s="377"/>
    </row>
    <row r="116" spans="2:9" x14ac:dyDescent="0.25">
      <c r="B116" s="647"/>
      <c r="C116" s="376"/>
      <c r="D116" s="377"/>
      <c r="E116" s="377"/>
      <c r="F116" s="377"/>
      <c r="G116" s="377"/>
      <c r="H116" s="378"/>
      <c r="I116" s="377"/>
    </row>
    <row r="117" spans="2:9" x14ac:dyDescent="0.25">
      <c r="B117" s="647"/>
      <c r="C117" s="376"/>
      <c r="D117" s="377"/>
      <c r="E117" s="377"/>
      <c r="F117" s="377"/>
      <c r="G117" s="377"/>
      <c r="H117" s="378"/>
      <c r="I117" s="377"/>
    </row>
    <row r="118" spans="2:9" x14ac:dyDescent="0.25">
      <c r="B118" s="647"/>
      <c r="C118" s="376"/>
      <c r="D118" s="377"/>
      <c r="E118" s="377"/>
      <c r="F118" s="377"/>
      <c r="G118" s="377"/>
      <c r="H118" s="378"/>
      <c r="I118" s="464"/>
    </row>
    <row r="119" spans="2:9" x14ac:dyDescent="0.25">
      <c r="B119" s="647"/>
      <c r="C119" s="376"/>
      <c r="D119" s="377"/>
      <c r="E119" s="377"/>
      <c r="F119" s="377"/>
      <c r="G119" s="377"/>
      <c r="H119" s="378"/>
      <c r="I119" s="377"/>
    </row>
    <row r="120" spans="2:9" x14ac:dyDescent="0.25">
      <c r="B120" s="647"/>
      <c r="C120" s="376"/>
      <c r="D120" s="377"/>
      <c r="E120" s="377"/>
      <c r="F120" s="377"/>
      <c r="G120" s="377"/>
      <c r="H120" s="378"/>
      <c r="I120" s="377"/>
    </row>
    <row r="121" spans="2:9" x14ac:dyDescent="0.25">
      <c r="B121" s="647"/>
      <c r="C121" s="376"/>
      <c r="D121" s="377"/>
      <c r="E121" s="377"/>
      <c r="F121" s="377"/>
      <c r="G121" s="377"/>
      <c r="H121" s="378"/>
      <c r="I121" s="377"/>
    </row>
    <row r="122" spans="2:9" x14ac:dyDescent="0.25">
      <c r="B122" s="647"/>
      <c r="C122" s="376"/>
      <c r="D122" s="377"/>
      <c r="E122" s="377"/>
      <c r="F122" s="377"/>
      <c r="G122" s="377"/>
      <c r="H122" s="378"/>
      <c r="I122" s="377"/>
    </row>
    <row r="123" spans="2:9" x14ac:dyDescent="0.25">
      <c r="B123" s="647"/>
      <c r="C123" s="376"/>
      <c r="D123" s="377"/>
      <c r="E123" s="377"/>
      <c r="F123" s="377"/>
      <c r="G123" s="377"/>
      <c r="H123" s="378"/>
      <c r="I123" s="377"/>
    </row>
    <row r="124" spans="2:9" x14ac:dyDescent="0.25">
      <c r="B124" s="647"/>
      <c r="C124" s="376"/>
      <c r="D124" s="377"/>
      <c r="E124" s="377"/>
      <c r="F124" s="377"/>
      <c r="G124" s="377"/>
      <c r="H124" s="378"/>
      <c r="I124" s="377"/>
    </row>
    <row r="125" spans="2:9" x14ac:dyDescent="0.25">
      <c r="B125" s="647"/>
      <c r="C125" s="376"/>
      <c r="D125" s="377"/>
      <c r="E125" s="377"/>
      <c r="F125" s="377"/>
      <c r="G125" s="377"/>
      <c r="H125" s="378"/>
      <c r="I125" s="377"/>
    </row>
    <row r="126" spans="2:9" x14ac:dyDescent="0.25">
      <c r="B126" s="647"/>
      <c r="C126" s="376"/>
      <c r="D126" s="377"/>
      <c r="E126" s="377"/>
      <c r="F126" s="377"/>
      <c r="G126" s="377"/>
      <c r="H126" s="378"/>
      <c r="I126" s="377"/>
    </row>
    <row r="127" spans="2:9" x14ac:dyDescent="0.25">
      <c r="B127" s="647"/>
      <c r="C127" s="376"/>
      <c r="D127" s="377"/>
      <c r="E127" s="377"/>
      <c r="F127" s="377"/>
      <c r="G127" s="377"/>
      <c r="H127" s="378"/>
      <c r="I127" s="377"/>
    </row>
    <row r="128" spans="2:9" x14ac:dyDescent="0.25">
      <c r="B128" s="647"/>
      <c r="C128" s="376"/>
      <c r="D128" s="377"/>
      <c r="E128" s="377"/>
      <c r="F128" s="377"/>
      <c r="G128" s="377"/>
      <c r="H128" s="378"/>
      <c r="I128" s="377"/>
    </row>
    <row r="129" spans="2:9" x14ac:dyDescent="0.25">
      <c r="B129" s="647"/>
      <c r="C129" s="376"/>
      <c r="D129" s="377"/>
      <c r="E129" s="377"/>
      <c r="F129" s="377"/>
      <c r="G129" s="377"/>
      <c r="H129" s="378"/>
      <c r="I129" s="377"/>
    </row>
    <row r="130" spans="2:9" x14ac:dyDescent="0.25">
      <c r="B130" s="647"/>
      <c r="C130" s="376"/>
      <c r="D130" s="377"/>
      <c r="E130" s="377"/>
      <c r="F130" s="377"/>
      <c r="G130" s="377"/>
      <c r="H130" s="378"/>
      <c r="I130" s="377"/>
    </row>
    <row r="131" spans="2:9" x14ac:dyDescent="0.25">
      <c r="B131" s="647"/>
      <c r="C131" s="376"/>
      <c r="D131" s="377"/>
      <c r="E131" s="377"/>
      <c r="F131" s="377"/>
      <c r="G131" s="377"/>
      <c r="H131" s="378"/>
      <c r="I131" s="377"/>
    </row>
    <row r="132" spans="2:9" x14ac:dyDescent="0.25">
      <c r="B132" s="647"/>
      <c r="C132" s="376"/>
      <c r="D132" s="377"/>
      <c r="E132" s="377"/>
      <c r="F132" s="377"/>
      <c r="G132" s="377"/>
      <c r="H132" s="378"/>
      <c r="I132" s="377"/>
    </row>
    <row r="133" spans="2:9" x14ac:dyDescent="0.25">
      <c r="B133" s="647"/>
      <c r="C133" s="376"/>
      <c r="D133" s="377"/>
      <c r="E133" s="377"/>
      <c r="F133" s="377"/>
      <c r="G133" s="377"/>
      <c r="H133" s="378"/>
      <c r="I133" s="377"/>
    </row>
    <row r="134" spans="2:9" x14ac:dyDescent="0.25">
      <c r="B134" s="647"/>
      <c r="C134" s="376"/>
      <c r="D134" s="377"/>
      <c r="E134" s="377"/>
      <c r="F134" s="377"/>
      <c r="G134" s="377"/>
      <c r="H134" s="378"/>
      <c r="I134" s="377"/>
    </row>
    <row r="135" spans="2:9" x14ac:dyDescent="0.25">
      <c r="B135" s="647"/>
      <c r="C135" s="376"/>
      <c r="D135" s="377"/>
      <c r="E135" s="377"/>
      <c r="F135" s="377"/>
      <c r="G135" s="377"/>
      <c r="H135" s="378"/>
      <c r="I135" s="377"/>
    </row>
    <row r="136" spans="2:9" x14ac:dyDescent="0.25">
      <c r="B136" s="647"/>
      <c r="C136" s="376"/>
      <c r="D136" s="377"/>
      <c r="E136" s="377"/>
      <c r="F136" s="377"/>
      <c r="G136" s="377"/>
      <c r="H136" s="378"/>
      <c r="I136" s="377"/>
    </row>
    <row r="137" spans="2:9" x14ac:dyDescent="0.25">
      <c r="B137" s="647"/>
      <c r="C137" s="376"/>
      <c r="D137" s="377"/>
      <c r="E137" s="377"/>
      <c r="F137" s="377"/>
      <c r="G137" s="377"/>
      <c r="H137" s="378"/>
      <c r="I137" s="377"/>
    </row>
    <row r="138" spans="2:9" x14ac:dyDescent="0.25">
      <c r="B138" s="647"/>
      <c r="C138" s="376"/>
      <c r="D138" s="377"/>
      <c r="E138" s="377"/>
      <c r="F138" s="377"/>
      <c r="G138" s="377"/>
      <c r="H138" s="378"/>
      <c r="I138" s="377"/>
    </row>
    <row r="139" spans="2:9" x14ac:dyDescent="0.25">
      <c r="B139" s="647"/>
      <c r="C139" s="376"/>
      <c r="D139" s="377"/>
      <c r="E139" s="377"/>
      <c r="F139" s="377"/>
      <c r="G139" s="377"/>
      <c r="H139" s="378"/>
      <c r="I139" s="377"/>
    </row>
    <row r="140" spans="2:9" x14ac:dyDescent="0.25">
      <c r="B140" s="647"/>
      <c r="C140" s="376"/>
      <c r="D140" s="377"/>
      <c r="E140" s="377"/>
      <c r="F140" s="377"/>
      <c r="G140" s="377"/>
      <c r="H140" s="378"/>
      <c r="I140" s="377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12" priority="43">
      <formula>F33&gt;0</formula>
    </cfRule>
    <cfRule type="expression" dxfId="811" priority="44">
      <formula>F33&lt;0</formula>
    </cfRule>
  </conditionalFormatting>
  <conditionalFormatting sqref="Q7">
    <cfRule type="expression" dxfId="810" priority="41">
      <formula>Q7&gt;0</formula>
    </cfRule>
    <cfRule type="expression" dxfId="809" priority="42">
      <formula>Q7&lt;0</formula>
    </cfRule>
  </conditionalFormatting>
  <conditionalFormatting sqref="Q8">
    <cfRule type="expression" dxfId="808" priority="39">
      <formula>Q8&gt;0</formula>
    </cfRule>
    <cfRule type="expression" dxfId="807" priority="40">
      <formula>Q8&lt;0</formula>
    </cfRule>
  </conditionalFormatting>
  <conditionalFormatting sqref="F29 F32">
    <cfRule type="expression" dxfId="806" priority="37">
      <formula>F29&gt;0</formula>
    </cfRule>
    <cfRule type="expression" dxfId="805" priority="38">
      <formula>F29&lt;0</formula>
    </cfRule>
  </conditionalFormatting>
  <conditionalFormatting sqref="H29 H32">
    <cfRule type="expression" dxfId="804" priority="35">
      <formula>H29&gt;0</formula>
    </cfRule>
    <cfRule type="expression" dxfId="803" priority="36">
      <formula>H29&lt;0</formula>
    </cfRule>
  </conditionalFormatting>
  <conditionalFormatting sqref="F30:F31">
    <cfRule type="expression" dxfId="802" priority="33">
      <formula>F30&gt;0</formula>
    </cfRule>
    <cfRule type="expression" dxfId="801" priority="34">
      <formula>F30&lt;0</formula>
    </cfRule>
  </conditionalFormatting>
  <conditionalFormatting sqref="H30:H31">
    <cfRule type="expression" dxfId="800" priority="31">
      <formula>H30&gt;0</formula>
    </cfRule>
    <cfRule type="expression" dxfId="799" priority="32">
      <formula>H30&lt;0</formula>
    </cfRule>
  </conditionalFormatting>
  <conditionalFormatting sqref="F105:F140 H105:H140">
    <cfRule type="expression" dxfId="798" priority="29">
      <formula>F105&gt;0</formula>
    </cfRule>
    <cfRule type="expression" dxfId="797" priority="30">
      <formula>F105&lt;0</formula>
    </cfRule>
  </conditionalFormatting>
  <conditionalFormatting sqref="F96:F99">
    <cfRule type="expression" dxfId="796" priority="27">
      <formula>F96&gt;0</formula>
    </cfRule>
    <cfRule type="expression" dxfId="795" priority="28">
      <formula>F96&lt;0</formula>
    </cfRule>
  </conditionalFormatting>
  <conditionalFormatting sqref="H96:H99">
    <cfRule type="expression" dxfId="794" priority="25">
      <formula>H96&gt;0</formula>
    </cfRule>
    <cfRule type="expression" dxfId="793" priority="26">
      <formula>H96&lt;0</formula>
    </cfRule>
  </conditionalFormatting>
  <conditionalFormatting sqref="F25:F28">
    <cfRule type="expression" dxfId="792" priority="19">
      <formula>F25&gt;0</formula>
    </cfRule>
    <cfRule type="expression" dxfId="791" priority="20">
      <formula>F25&lt;0</formula>
    </cfRule>
  </conditionalFormatting>
  <conditionalFormatting sqref="H25:H28">
    <cfRule type="expression" dxfId="790" priority="17">
      <formula>H25&gt;0</formula>
    </cfRule>
    <cfRule type="expression" dxfId="789" priority="18">
      <formula>H25&lt;0</formula>
    </cfRule>
  </conditionalFormatting>
  <conditionalFormatting sqref="J27">
    <cfRule type="expression" dxfId="788" priority="15">
      <formula>J27&gt;0</formula>
    </cfRule>
    <cfRule type="expression" dxfId="787" priority="16">
      <formula>J27&lt;0</formula>
    </cfRule>
  </conditionalFormatting>
  <conditionalFormatting sqref="F104">
    <cfRule type="expression" dxfId="786" priority="13">
      <formula>F104&gt;0</formula>
    </cfRule>
    <cfRule type="expression" dxfId="785" priority="14">
      <formula>F104&lt;0</formula>
    </cfRule>
  </conditionalFormatting>
  <conditionalFormatting sqref="H104">
    <cfRule type="expression" dxfId="784" priority="11">
      <formula>H104&gt;0</formula>
    </cfRule>
    <cfRule type="expression" dxfId="783" priority="12">
      <formula>H104&lt;0</formula>
    </cfRule>
  </conditionalFormatting>
  <conditionalFormatting sqref="F100:F103">
    <cfRule type="expression" dxfId="782" priority="9">
      <formula>F100&gt;0</formula>
    </cfRule>
    <cfRule type="expression" dxfId="781" priority="10">
      <formula>F100&lt;0</formula>
    </cfRule>
  </conditionalFormatting>
  <conditionalFormatting sqref="H100:H103">
    <cfRule type="expression" dxfId="780" priority="7">
      <formula>H100&gt;0</formula>
    </cfRule>
    <cfRule type="expression" dxfId="779" priority="8">
      <formula>H100&lt;0</formula>
    </cfRule>
  </conditionalFormatting>
  <conditionalFormatting sqref="J102">
    <cfRule type="expression" dxfId="778" priority="5">
      <formula>J102&gt;0</formula>
    </cfRule>
    <cfRule type="expression" dxfId="777" priority="6">
      <formula>J102&lt;0</formula>
    </cfRule>
  </conditionalFormatting>
  <conditionalFormatting sqref="Q10">
    <cfRule type="expression" dxfId="776" priority="3">
      <formula>Q10&gt;0</formula>
    </cfRule>
    <cfRule type="expression" dxfId="775" priority="4">
      <formula>Q10&lt;0</formula>
    </cfRule>
  </conditionalFormatting>
  <conditionalFormatting sqref="M71">
    <cfRule type="expression" dxfId="774" priority="1">
      <formula>M71&gt;0</formula>
    </cfRule>
    <cfRule type="expression" dxfId="77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767</v>
      </c>
      <c r="B2" s="496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40</v>
      </c>
      <c r="T2" s="1"/>
    </row>
    <row r="3" spans="1:2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69.680000000000007</v>
      </c>
      <c r="T3" s="1"/>
    </row>
    <row r="4" spans="1:2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70.16</v>
      </c>
      <c r="R4" s="497">
        <v>7.7999999999999996E-3</v>
      </c>
      <c r="T4" s="160"/>
      <c r="U4" s="1"/>
    </row>
    <row r="5" spans="1:2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2806.3999999999996</v>
      </c>
    </row>
    <row r="6" spans="1:2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19.199999999999363</v>
      </c>
      <c r="R7" s="30">
        <v>42993</v>
      </c>
    </row>
    <row r="8" spans="1:2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19.199999999999363</v>
      </c>
    </row>
    <row r="9" spans="1:21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Q9" s="135">
        <f>IF(Q2=0, 0, Q8/Q6)</f>
        <v>6.8886337543051668E-3</v>
      </c>
    </row>
    <row r="10" spans="1:21" x14ac:dyDescent="0.25">
      <c r="B10" s="4"/>
      <c r="C10" s="4"/>
      <c r="D10" s="3"/>
      <c r="E10" s="3"/>
      <c r="F10" s="3"/>
      <c r="G10" s="4"/>
      <c r="H10" s="182"/>
      <c r="I10" s="3"/>
      <c r="J10" s="3"/>
      <c r="K10" s="3"/>
      <c r="L10" s="4"/>
      <c r="O10" s="11" t="s">
        <v>210</v>
      </c>
      <c r="P10" s="34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O11" s="11" t="s">
        <v>176</v>
      </c>
      <c r="P11" s="34"/>
      <c r="Q11" s="135">
        <v>1.78E-2</v>
      </c>
    </row>
    <row r="12" spans="1:21" x14ac:dyDescent="0.25">
      <c r="H12" s="71"/>
    </row>
    <row r="13" spans="1:21" x14ac:dyDescent="0.25">
      <c r="H13" s="71"/>
    </row>
    <row r="14" spans="1:21" x14ac:dyDescent="0.25">
      <c r="H14" s="71"/>
    </row>
    <row r="15" spans="1:21" x14ac:dyDescent="0.25">
      <c r="H15" s="71"/>
    </row>
    <row r="16" spans="1:21" x14ac:dyDescent="0.25">
      <c r="H16" s="71"/>
    </row>
    <row r="18" spans="1:13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</row>
    <row r="24" spans="1:13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</row>
    <row r="25" spans="1:13" x14ac:dyDescent="0.25">
      <c r="B25" s="190">
        <v>42962</v>
      </c>
      <c r="C25" s="10">
        <v>40</v>
      </c>
      <c r="D25" s="40">
        <v>69.680000000000007</v>
      </c>
      <c r="E25" s="40">
        <v>70.16</v>
      </c>
      <c r="F25" s="40">
        <f>(E25-D25)*C25</f>
        <v>19.199999999999591</v>
      </c>
      <c r="G25" s="40">
        <f>D25*C25</f>
        <v>2787.2000000000003</v>
      </c>
      <c r="H25" s="228">
        <f>(E25-D25)/D25</f>
        <v>6.8886337543052484E-3</v>
      </c>
      <c r="I25" s="40"/>
    </row>
    <row r="26" spans="1:13" x14ac:dyDescent="0.25">
      <c r="B26" s="190"/>
      <c r="C26" s="10"/>
      <c r="D26" s="40"/>
      <c r="E26" s="40"/>
      <c r="F26" s="40"/>
      <c r="G26" s="40"/>
      <c r="H26" s="228"/>
      <c r="I26" s="40"/>
    </row>
    <row r="27" spans="1:13" x14ac:dyDescent="0.25">
      <c r="B27" s="190"/>
      <c r="C27" s="10"/>
      <c r="D27" s="40"/>
      <c r="E27" s="40"/>
      <c r="F27" s="40"/>
      <c r="G27" s="40"/>
      <c r="H27" s="228"/>
      <c r="I27" s="40"/>
    </row>
    <row r="28" spans="1:13" x14ac:dyDescent="0.25">
      <c r="B28" s="190"/>
      <c r="C28" s="10"/>
      <c r="D28" s="40"/>
      <c r="E28" s="40"/>
      <c r="F28" s="40"/>
      <c r="G28" s="40"/>
      <c r="H28" s="228"/>
      <c r="I28" s="40"/>
    </row>
    <row r="29" spans="1:13" x14ac:dyDescent="0.25">
      <c r="B29" s="190"/>
      <c r="C29" s="10"/>
      <c r="D29" s="40"/>
      <c r="E29" s="40"/>
      <c r="F29" s="40"/>
      <c r="G29" s="40"/>
      <c r="H29" s="228"/>
      <c r="I29" s="40"/>
    </row>
    <row r="30" spans="1:13" x14ac:dyDescent="0.25">
      <c r="B30" s="190"/>
      <c r="C30" s="10"/>
      <c r="D30" s="40"/>
      <c r="E30" s="40"/>
      <c r="F30" s="40"/>
      <c r="G30" s="40"/>
      <c r="H30" s="228"/>
      <c r="I30" s="40"/>
    </row>
    <row r="31" spans="1:13" x14ac:dyDescent="0.25">
      <c r="B31" s="190"/>
      <c r="C31" s="10"/>
      <c r="D31" s="40"/>
      <c r="E31" s="40"/>
      <c r="F31" s="40"/>
      <c r="G31" s="40"/>
      <c r="H31" s="228"/>
      <c r="I31" s="40"/>
    </row>
    <row r="32" spans="1:13" x14ac:dyDescent="0.25">
      <c r="B32" s="190"/>
      <c r="C32" s="10"/>
      <c r="D32" s="40"/>
      <c r="E32" s="40"/>
      <c r="F32" s="40"/>
      <c r="G32" s="40"/>
      <c r="H32" s="228"/>
      <c r="I32" s="40"/>
    </row>
    <row r="33" spans="1:21" x14ac:dyDescent="0.25">
      <c r="B33" s="190"/>
      <c r="C33" s="10"/>
      <c r="D33" s="40"/>
      <c r="E33" s="40"/>
      <c r="F33" s="40"/>
      <c r="G33" s="40"/>
      <c r="H33" s="228"/>
      <c r="I33" s="233"/>
    </row>
    <row r="34" spans="1:21" x14ac:dyDescent="0.25">
      <c r="B34" s="190"/>
      <c r="C34" s="10"/>
      <c r="D34" s="40"/>
      <c r="E34" s="40"/>
      <c r="F34" s="40"/>
      <c r="G34" s="40"/>
      <c r="H34" s="228"/>
      <c r="I34" s="40"/>
    </row>
    <row r="35" spans="1:21" x14ac:dyDescent="0.25">
      <c r="B35" s="190"/>
      <c r="C35" s="10"/>
      <c r="D35" s="40"/>
      <c r="E35" s="40"/>
      <c r="F35" s="40"/>
      <c r="G35" s="40"/>
      <c r="H35" s="228"/>
      <c r="I35" s="40"/>
    </row>
    <row r="36" spans="1:21" x14ac:dyDescent="0.25">
      <c r="B36" s="190"/>
      <c r="C36" s="10"/>
      <c r="D36" s="40"/>
      <c r="E36" s="40"/>
      <c r="F36" s="40"/>
      <c r="G36" s="40"/>
      <c r="H36" s="228"/>
      <c r="I36" s="40"/>
    </row>
    <row r="37" spans="1:21" x14ac:dyDescent="0.25">
      <c r="B37" s="190"/>
      <c r="C37" s="10"/>
      <c r="D37" s="40"/>
      <c r="E37" s="40"/>
      <c r="F37" s="40"/>
      <c r="G37" s="40"/>
      <c r="H37" s="228"/>
      <c r="I37" s="40"/>
    </row>
    <row r="38" spans="1:21" x14ac:dyDescent="0.25">
      <c r="B38" s="190"/>
      <c r="C38" s="10"/>
      <c r="D38" s="40"/>
      <c r="E38" s="40"/>
      <c r="F38" s="40"/>
      <c r="G38" s="40"/>
      <c r="H38" s="228"/>
      <c r="I38" s="40"/>
    </row>
    <row r="39" spans="1:21" x14ac:dyDescent="0.25">
      <c r="B39" s="190"/>
      <c r="C39" s="10"/>
      <c r="D39" s="40"/>
      <c r="E39" s="40"/>
      <c r="F39" s="40"/>
      <c r="G39" s="40"/>
      <c r="H39" s="228"/>
      <c r="I39" s="40"/>
    </row>
    <row r="40" spans="1:2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</row>
    <row r="41" spans="1:2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77.176000000000002</v>
      </c>
      <c r="Q41" s="2"/>
    </row>
    <row r="42" spans="1:2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0">O42*$Q$4</f>
        <v>76.474400000000003</v>
      </c>
      <c r="Q42" s="2"/>
      <c r="T42" s="90"/>
    </row>
    <row r="43" spans="1:21" ht="15.75" thickTop="1" x14ac:dyDescent="0.25">
      <c r="O43" s="82">
        <v>1.08</v>
      </c>
      <c r="P43" s="82">
        <f t="shared" si="0"/>
        <v>75.772800000000004</v>
      </c>
      <c r="Q43" s="2"/>
      <c r="T43" s="126"/>
      <c r="U43" s="127"/>
    </row>
    <row r="44" spans="1:21" x14ac:dyDescent="0.25">
      <c r="O44" s="82">
        <v>1.07</v>
      </c>
      <c r="P44" s="82">
        <f t="shared" si="0"/>
        <v>75.071200000000005</v>
      </c>
      <c r="Q44" s="2"/>
      <c r="T44" s="92"/>
      <c r="U44" s="128"/>
    </row>
    <row r="45" spans="1:21" x14ac:dyDescent="0.25">
      <c r="O45" s="82">
        <v>1.06</v>
      </c>
      <c r="P45" s="82">
        <f t="shared" si="0"/>
        <v>74.369600000000005</v>
      </c>
      <c r="Q45" s="2"/>
      <c r="T45" s="92"/>
      <c r="U45" s="128"/>
    </row>
    <row r="46" spans="1:21" x14ac:dyDescent="0.25">
      <c r="L46" t="s">
        <v>65</v>
      </c>
      <c r="M46" s="2">
        <f>M64+K64-F64</f>
        <v>0</v>
      </c>
      <c r="O46" s="82">
        <v>1.05</v>
      </c>
      <c r="P46" s="82">
        <f t="shared" si="0"/>
        <v>73.668000000000006</v>
      </c>
      <c r="Q46" s="2"/>
      <c r="T46" s="92"/>
      <c r="U46" s="128"/>
    </row>
    <row r="47" spans="1:21" x14ac:dyDescent="0.25">
      <c r="A47" s="260" t="s">
        <v>1</v>
      </c>
      <c r="B47" s="260" t="s">
        <v>2</v>
      </c>
      <c r="C47" s="260" t="s">
        <v>4</v>
      </c>
      <c r="D47" s="261" t="s">
        <v>5</v>
      </c>
      <c r="E47" s="261" t="s">
        <v>94</v>
      </c>
      <c r="F47" s="261" t="s">
        <v>60</v>
      </c>
      <c r="G47" s="260" t="s">
        <v>3</v>
      </c>
      <c r="H47" s="260" t="s">
        <v>6</v>
      </c>
      <c r="I47" s="261" t="s">
        <v>7</v>
      </c>
      <c r="J47" s="261" t="s">
        <v>95</v>
      </c>
      <c r="K47" s="261" t="s">
        <v>61</v>
      </c>
      <c r="L47" s="260" t="s">
        <v>37</v>
      </c>
      <c r="M47" s="260" t="s">
        <v>38</v>
      </c>
      <c r="O47" s="82">
        <v>1.04</v>
      </c>
      <c r="P47" s="82">
        <f t="shared" si="0"/>
        <v>72.966399999999993</v>
      </c>
      <c r="Q47" s="2"/>
      <c r="T47" s="92"/>
      <c r="U47" s="128"/>
    </row>
    <row r="48" spans="1:21" x14ac:dyDescent="0.25">
      <c r="A48" s="262" t="s">
        <v>767</v>
      </c>
      <c r="B48" s="263"/>
      <c r="C48" s="258"/>
      <c r="D48" s="259"/>
      <c r="E48" s="259"/>
      <c r="F48" s="259"/>
      <c r="G48" s="263"/>
      <c r="H48" s="264"/>
      <c r="I48" s="259"/>
      <c r="J48" s="259"/>
      <c r="K48" s="259"/>
      <c r="L48" s="263"/>
      <c r="M48" s="258"/>
      <c r="O48" s="82">
        <v>1.03</v>
      </c>
      <c r="P48" s="82">
        <f t="shared" si="0"/>
        <v>72.264799999999994</v>
      </c>
      <c r="Q48" s="2"/>
      <c r="T48" s="92"/>
      <c r="U48" s="128"/>
    </row>
    <row r="49" spans="1:21" x14ac:dyDescent="0.25">
      <c r="A49" s="265" t="s">
        <v>71</v>
      </c>
      <c r="B49" s="263"/>
      <c r="C49" s="258"/>
      <c r="D49" s="259"/>
      <c r="E49" s="259"/>
      <c r="F49" s="259"/>
      <c r="G49" s="263"/>
      <c r="H49" s="264"/>
      <c r="I49" s="259"/>
      <c r="J49" s="259"/>
      <c r="K49" s="259"/>
      <c r="L49" s="258"/>
      <c r="M49" s="258"/>
      <c r="O49" s="82">
        <v>1.02</v>
      </c>
      <c r="P49" s="82">
        <f t="shared" si="0"/>
        <v>71.563199999999995</v>
      </c>
      <c r="Q49" s="2"/>
      <c r="T49" s="92"/>
      <c r="U49" s="128"/>
    </row>
    <row r="50" spans="1:21" x14ac:dyDescent="0.25">
      <c r="A50" s="258"/>
      <c r="B50" s="263"/>
      <c r="C50" s="258"/>
      <c r="D50" s="259"/>
      <c r="E50" s="259"/>
      <c r="F50" s="259"/>
      <c r="G50" s="258"/>
      <c r="H50" s="264"/>
      <c r="I50" s="259"/>
      <c r="J50" s="259"/>
      <c r="K50" s="259"/>
      <c r="L50" s="258"/>
      <c r="M50" s="258"/>
      <c r="O50" s="82">
        <v>1.01</v>
      </c>
      <c r="P50" s="82">
        <f t="shared" si="0"/>
        <v>70.861599999999996</v>
      </c>
      <c r="Q50" s="2"/>
      <c r="T50" s="92"/>
      <c r="U50" s="128"/>
    </row>
    <row r="51" spans="1:21" x14ac:dyDescent="0.25">
      <c r="A51" s="258"/>
      <c r="B51" s="263"/>
      <c r="C51" s="258"/>
      <c r="D51" s="259"/>
      <c r="E51" s="259"/>
      <c r="F51" s="259"/>
      <c r="G51" s="258"/>
      <c r="H51" s="264"/>
      <c r="I51" s="259"/>
      <c r="J51" s="259"/>
      <c r="K51" s="259"/>
      <c r="L51" s="258"/>
      <c r="M51" s="258"/>
      <c r="O51" s="82">
        <v>1</v>
      </c>
      <c r="P51" s="82">
        <f t="shared" si="0"/>
        <v>70.16</v>
      </c>
      <c r="Q51" s="2"/>
      <c r="T51" s="92"/>
      <c r="U51" s="128"/>
    </row>
    <row r="52" spans="1:21" x14ac:dyDescent="0.25">
      <c r="A52" s="258"/>
      <c r="B52" s="263"/>
      <c r="C52" s="258"/>
      <c r="D52" s="259"/>
      <c r="E52" s="259"/>
      <c r="F52" s="259"/>
      <c r="G52" s="258"/>
      <c r="H52" s="264"/>
      <c r="I52" s="259"/>
      <c r="J52" s="259"/>
      <c r="K52" s="259"/>
      <c r="L52" s="258"/>
      <c r="M52" s="258"/>
      <c r="O52" s="82">
        <v>0.99</v>
      </c>
      <c r="P52" s="82">
        <f t="shared" si="0"/>
        <v>69.458399999999997</v>
      </c>
      <c r="Q52" s="2"/>
      <c r="T52" s="92"/>
      <c r="U52" s="128"/>
    </row>
    <row r="53" spans="1:21" x14ac:dyDescent="0.25">
      <c r="A53" s="258"/>
      <c r="B53" s="258"/>
      <c r="C53" s="258"/>
      <c r="D53" s="259"/>
      <c r="E53" s="259"/>
      <c r="F53" s="259"/>
      <c r="G53" s="258"/>
      <c r="H53" s="264"/>
      <c r="I53" s="259"/>
      <c r="J53" s="259"/>
      <c r="K53" s="259"/>
      <c r="L53" s="258"/>
      <c r="M53" s="258"/>
      <c r="O53" s="82">
        <v>0.98</v>
      </c>
      <c r="P53" s="82">
        <f t="shared" si="0"/>
        <v>68.756799999999998</v>
      </c>
      <c r="Q53" s="2"/>
      <c r="T53" s="92"/>
      <c r="U53" s="129"/>
    </row>
    <row r="54" spans="1:21" x14ac:dyDescent="0.25">
      <c r="A54" s="258"/>
      <c r="B54" s="258"/>
      <c r="C54" s="258"/>
      <c r="D54" s="259"/>
      <c r="E54" s="259"/>
      <c r="F54" s="259"/>
      <c r="G54" s="258"/>
      <c r="H54" s="264"/>
      <c r="I54" s="259"/>
      <c r="J54" s="259"/>
      <c r="K54" s="259"/>
      <c r="L54" s="258"/>
      <c r="M54" s="258"/>
      <c r="O54" s="82">
        <v>0.97</v>
      </c>
      <c r="P54" s="82">
        <f t="shared" si="0"/>
        <v>68.055199999999999</v>
      </c>
      <c r="T54" s="92"/>
      <c r="U54" s="129"/>
    </row>
    <row r="55" spans="1:21" x14ac:dyDescent="0.25">
      <c r="A55" s="258"/>
      <c r="B55" s="258"/>
      <c r="C55" s="258"/>
      <c r="D55" s="259"/>
      <c r="E55" s="259"/>
      <c r="F55" s="259"/>
      <c r="G55" s="258"/>
      <c r="H55" s="264"/>
      <c r="I55" s="259"/>
      <c r="J55" s="259"/>
      <c r="K55" s="259"/>
      <c r="L55" s="258"/>
      <c r="M55" s="258"/>
      <c r="O55" s="82">
        <v>0.96</v>
      </c>
      <c r="P55" s="82">
        <f t="shared" si="0"/>
        <v>67.3536</v>
      </c>
      <c r="T55" s="92"/>
      <c r="U55" s="128"/>
    </row>
    <row r="56" spans="1:21" x14ac:dyDescent="0.25">
      <c r="A56" s="258"/>
      <c r="B56" s="258"/>
      <c r="C56" s="258"/>
      <c r="D56" s="259"/>
      <c r="E56" s="259"/>
      <c r="F56" s="259"/>
      <c r="G56" s="258"/>
      <c r="H56" s="264"/>
      <c r="I56" s="259"/>
      <c r="J56" s="259"/>
      <c r="K56" s="259"/>
      <c r="L56" s="258"/>
      <c r="M56" s="258"/>
      <c r="O56" s="82">
        <v>0.95</v>
      </c>
      <c r="P56" s="82">
        <f t="shared" si="0"/>
        <v>66.651999999999987</v>
      </c>
      <c r="T56" s="92"/>
      <c r="U56" s="128"/>
    </row>
    <row r="57" spans="1:21" x14ac:dyDescent="0.25">
      <c r="A57" s="258"/>
      <c r="B57" s="258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0"/>
        <v>65.950399999999988</v>
      </c>
      <c r="T57" s="92"/>
      <c r="U57" s="128"/>
    </row>
    <row r="58" spans="1:21" x14ac:dyDescent="0.25">
      <c r="A58" s="258"/>
      <c r="B58" s="258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0"/>
        <v>65.248800000000003</v>
      </c>
      <c r="T58" s="92"/>
      <c r="U58" s="128"/>
    </row>
    <row r="59" spans="1:21" x14ac:dyDescent="0.25">
      <c r="A59" s="258"/>
      <c r="B59" s="258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0"/>
        <v>64.547200000000004</v>
      </c>
    </row>
    <row r="60" spans="1:2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0"/>
        <v>63.845599999999997</v>
      </c>
    </row>
    <row r="61" spans="1:2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0"/>
        <v>63.143999999999998</v>
      </c>
    </row>
    <row r="62" spans="1:2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</row>
    <row r="63" spans="1:21" x14ac:dyDescent="0.25">
      <c r="A63" s="258"/>
      <c r="B63" s="258"/>
      <c r="C63" s="258"/>
      <c r="D63" s="259"/>
      <c r="E63" s="259"/>
      <c r="F63" s="259"/>
      <c r="G63" s="258"/>
      <c r="H63" s="258"/>
      <c r="I63" s="259"/>
      <c r="J63" s="259"/>
      <c r="K63" s="259"/>
      <c r="L63" s="258"/>
      <c r="M63" s="258"/>
    </row>
    <row r="64" spans="1:21" x14ac:dyDescent="0.25">
      <c r="A64" s="32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60" t="s">
        <v>195</v>
      </c>
      <c r="B65" s="461"/>
      <c r="C65" s="462">
        <f>SumByColor($A$19,C48:C63)</f>
        <v>0</v>
      </c>
      <c r="D65" s="462"/>
      <c r="E65" s="462"/>
      <c r="F65" s="463">
        <f>SumByColor($A$19,F48:F63)</f>
        <v>0</v>
      </c>
      <c r="G65" s="462"/>
      <c r="H65" s="462">
        <f>SumByColor($A$19,H48:H63)</f>
        <v>0</v>
      </c>
      <c r="I65" s="462"/>
      <c r="J65" s="462"/>
      <c r="K65" s="463">
        <f>SumByColor($A$19,K48:K63)</f>
        <v>0</v>
      </c>
      <c r="L65" s="462"/>
      <c r="M65" s="463">
        <f>SumByColor($A$19,M48:M63)</f>
        <v>0</v>
      </c>
    </row>
    <row r="69" spans="1:13" x14ac:dyDescent="0.25">
      <c r="B69" s="508" t="s">
        <v>113</v>
      </c>
      <c r="C69" s="508" t="s">
        <v>146</v>
      </c>
      <c r="D69" s="509" t="s">
        <v>145</v>
      </c>
      <c r="E69" s="510" t="s">
        <v>147</v>
      </c>
      <c r="F69" s="510" t="s">
        <v>65</v>
      </c>
      <c r="G69" s="512" t="s">
        <v>151</v>
      </c>
      <c r="H69" s="512" t="s">
        <v>88</v>
      </c>
      <c r="I69" s="512" t="s">
        <v>154</v>
      </c>
    </row>
    <row r="70" spans="1:13" x14ac:dyDescent="0.25">
      <c r="B70" s="375"/>
      <c r="C70" s="376"/>
      <c r="D70" s="377"/>
      <c r="E70" s="377"/>
      <c r="F70" s="377"/>
      <c r="G70" s="377"/>
      <c r="H70" s="378"/>
      <c r="I70" s="377"/>
    </row>
    <row r="71" spans="1:13" x14ac:dyDescent="0.25">
      <c r="B71" s="375"/>
      <c r="C71" s="376"/>
      <c r="D71" s="377"/>
      <c r="E71" s="377"/>
      <c r="F71" s="377"/>
      <c r="G71" s="377"/>
      <c r="H71" s="378"/>
      <c r="I71" s="377"/>
    </row>
    <row r="72" spans="1:13" x14ac:dyDescent="0.25">
      <c r="B72" s="375"/>
      <c r="C72" s="376"/>
      <c r="D72" s="377"/>
      <c r="E72" s="377"/>
      <c r="F72" s="377"/>
      <c r="G72" s="377"/>
      <c r="H72" s="378"/>
      <c r="I72" s="377"/>
    </row>
    <row r="73" spans="1:13" x14ac:dyDescent="0.25">
      <c r="B73" s="375"/>
      <c r="C73" s="376"/>
      <c r="D73" s="377"/>
      <c r="E73" s="377"/>
      <c r="F73" s="377"/>
      <c r="G73" s="377"/>
      <c r="H73" s="378"/>
      <c r="I73" s="377"/>
    </row>
    <row r="74" spans="1:13" x14ac:dyDescent="0.25">
      <c r="B74" s="375"/>
      <c r="C74" s="376"/>
      <c r="D74" s="377"/>
      <c r="E74" s="377"/>
      <c r="F74" s="377"/>
      <c r="G74" s="377"/>
      <c r="H74" s="378"/>
      <c r="I74" s="377"/>
    </row>
    <row r="75" spans="1:13" x14ac:dyDescent="0.25">
      <c r="B75" s="375"/>
      <c r="C75" s="376"/>
      <c r="D75" s="377"/>
      <c r="E75" s="377"/>
      <c r="F75" s="377"/>
      <c r="G75" s="377"/>
      <c r="H75" s="378"/>
      <c r="I75" s="377"/>
    </row>
    <row r="76" spans="1:13" x14ac:dyDescent="0.25">
      <c r="B76" s="375"/>
      <c r="C76" s="376"/>
      <c r="D76" s="377"/>
      <c r="E76" s="377"/>
      <c r="F76" s="377"/>
      <c r="G76" s="377"/>
      <c r="H76" s="378"/>
      <c r="I76" s="377"/>
    </row>
    <row r="77" spans="1:13" x14ac:dyDescent="0.25">
      <c r="B77" s="375"/>
      <c r="C77" s="376"/>
      <c r="D77" s="377"/>
      <c r="E77" s="377"/>
      <c r="F77" s="377"/>
      <c r="G77" s="377"/>
      <c r="H77" s="378"/>
      <c r="I77" s="377"/>
    </row>
    <row r="78" spans="1:13" x14ac:dyDescent="0.25">
      <c r="B78" s="375"/>
      <c r="C78" s="376"/>
      <c r="D78" s="377"/>
      <c r="E78" s="377"/>
      <c r="F78" s="377"/>
      <c r="G78" s="377"/>
      <c r="H78" s="378"/>
      <c r="I78" s="464"/>
    </row>
    <row r="79" spans="1:13" x14ac:dyDescent="0.25">
      <c r="B79" s="375"/>
      <c r="C79" s="376"/>
      <c r="D79" s="377"/>
      <c r="E79" s="377"/>
      <c r="F79" s="377"/>
      <c r="G79" s="377"/>
      <c r="H79" s="378"/>
      <c r="I79" s="377"/>
    </row>
    <row r="80" spans="1:13" x14ac:dyDescent="0.25">
      <c r="B80" s="375"/>
      <c r="C80" s="376"/>
      <c r="D80" s="377"/>
      <c r="E80" s="377"/>
      <c r="F80" s="377"/>
      <c r="G80" s="377"/>
      <c r="H80" s="378"/>
      <c r="I80" s="377"/>
    </row>
    <row r="81" spans="2:9" x14ac:dyDescent="0.25">
      <c r="B81" s="375"/>
      <c r="C81" s="376"/>
      <c r="D81" s="377"/>
      <c r="E81" s="377"/>
      <c r="F81" s="377"/>
      <c r="G81" s="377"/>
      <c r="H81" s="378"/>
      <c r="I81" s="377"/>
    </row>
    <row r="82" spans="2:9" x14ac:dyDescent="0.25">
      <c r="B82" s="375"/>
      <c r="C82" s="376"/>
      <c r="D82" s="377"/>
      <c r="E82" s="377"/>
      <c r="F82" s="377"/>
      <c r="G82" s="377"/>
      <c r="H82" s="378"/>
      <c r="I82" s="377"/>
    </row>
    <row r="83" spans="2:9" x14ac:dyDescent="0.25">
      <c r="B83" s="375"/>
      <c r="C83" s="376"/>
      <c r="D83" s="377"/>
      <c r="E83" s="377"/>
      <c r="F83" s="377"/>
      <c r="G83" s="377"/>
      <c r="H83" s="378"/>
      <c r="I83" s="377"/>
    </row>
    <row r="84" spans="2:9" x14ac:dyDescent="0.25">
      <c r="B84" s="375"/>
      <c r="C84" s="376"/>
      <c r="D84" s="377"/>
      <c r="E84" s="377"/>
      <c r="F84" s="377"/>
      <c r="G84" s="377"/>
      <c r="H84" s="378"/>
      <c r="I84" s="377"/>
    </row>
    <row r="85" spans="2:9" x14ac:dyDescent="0.25">
      <c r="B85" s="375"/>
      <c r="C85" s="376"/>
      <c r="D85" s="377"/>
      <c r="E85" s="377"/>
      <c r="F85" s="377"/>
      <c r="G85" s="377"/>
      <c r="H85" s="378"/>
      <c r="I85" s="377"/>
    </row>
    <row r="86" spans="2:9" x14ac:dyDescent="0.25">
      <c r="B86" s="375"/>
      <c r="C86" s="376"/>
      <c r="D86" s="377"/>
      <c r="E86" s="377"/>
      <c r="F86" s="377"/>
      <c r="G86" s="377"/>
      <c r="H86" s="378"/>
      <c r="I86" s="377"/>
    </row>
    <row r="87" spans="2:9" x14ac:dyDescent="0.25">
      <c r="B87" s="375"/>
      <c r="C87" s="376"/>
      <c r="D87" s="377"/>
      <c r="E87" s="377"/>
      <c r="F87" s="377"/>
      <c r="G87" s="377"/>
      <c r="H87" s="378"/>
      <c r="I87" s="377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772" priority="17">
      <formula>F34&gt;0</formula>
    </cfRule>
    <cfRule type="expression" dxfId="771" priority="18">
      <formula>F34&lt;0</formula>
    </cfRule>
  </conditionalFormatting>
  <conditionalFormatting sqref="Q7">
    <cfRule type="expression" dxfId="770" priority="15">
      <formula>Q7&gt;0</formula>
    </cfRule>
    <cfRule type="expression" dxfId="769" priority="16">
      <formula>Q7&lt;0</formula>
    </cfRule>
  </conditionalFormatting>
  <conditionalFormatting sqref="Q8">
    <cfRule type="expression" dxfId="768" priority="13">
      <formula>Q8&gt;0</formula>
    </cfRule>
    <cfRule type="expression" dxfId="767" priority="14">
      <formula>Q8&lt;0</formula>
    </cfRule>
  </conditionalFormatting>
  <conditionalFormatting sqref="F25:F33">
    <cfRule type="expression" dxfId="766" priority="11">
      <formula>F25&gt;0</formula>
    </cfRule>
    <cfRule type="expression" dxfId="765" priority="12">
      <formula>F25&lt;0</formula>
    </cfRule>
  </conditionalFormatting>
  <conditionalFormatting sqref="H25:H33">
    <cfRule type="expression" dxfId="764" priority="9">
      <formula>H25&gt;0</formula>
    </cfRule>
    <cfRule type="expression" dxfId="763" priority="10">
      <formula>H25&lt;0</formula>
    </cfRule>
  </conditionalFormatting>
  <conditionalFormatting sqref="M46">
    <cfRule type="expression" dxfId="762" priority="7">
      <formula>M46&gt;0</formula>
    </cfRule>
    <cfRule type="expression" dxfId="761" priority="8">
      <formula>M46&lt;0</formula>
    </cfRule>
  </conditionalFormatting>
  <conditionalFormatting sqref="F79:F87 H79:H87">
    <cfRule type="expression" dxfId="760" priority="5">
      <formula>F79&gt;0</formula>
    </cfRule>
    <cfRule type="expression" dxfId="759" priority="6">
      <formula>F79&lt;0</formula>
    </cfRule>
  </conditionalFormatting>
  <conditionalFormatting sqref="F70:F78">
    <cfRule type="expression" dxfId="758" priority="3">
      <formula>F70&gt;0</formula>
    </cfRule>
    <cfRule type="expression" dxfId="757" priority="4">
      <formula>F70&lt;0</formula>
    </cfRule>
  </conditionalFormatting>
  <conditionalFormatting sqref="H70:H78">
    <cfRule type="expression" dxfId="756" priority="1">
      <formula>H70&gt;0</formula>
    </cfRule>
    <cfRule type="expression" dxfId="755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5"/>
      <c r="W1" s="130" t="s">
        <v>113</v>
      </c>
      <c r="X1" s="130" t="s">
        <v>114</v>
      </c>
      <c r="Y1" s="130" t="s">
        <v>115</v>
      </c>
      <c r="Z1" s="130" t="s">
        <v>116</v>
      </c>
      <c r="AA1" s="130" t="s">
        <v>117</v>
      </c>
      <c r="AB1" s="130" t="s">
        <v>118</v>
      </c>
      <c r="AC1" s="130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5"/>
      <c r="V2" s="16"/>
      <c r="W2" s="138">
        <v>42830</v>
      </c>
      <c r="X2" s="139">
        <v>54.97</v>
      </c>
      <c r="Y2" s="139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5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58.56</v>
      </c>
      <c r="W3" s="131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5"/>
      <c r="AL3" s="231"/>
      <c r="AO3" s="231"/>
    </row>
    <row r="4" spans="1:42" x14ac:dyDescent="0.25">
      <c r="B4" s="4"/>
      <c r="C4" s="4"/>
      <c r="D4" s="4"/>
      <c r="E4" s="4"/>
      <c r="F4" s="4"/>
      <c r="G4" s="73"/>
      <c r="H4" s="182"/>
      <c r="I4" s="3"/>
      <c r="J4" s="3"/>
      <c r="K4" s="3"/>
      <c r="L4" s="4"/>
      <c r="M4" s="4"/>
      <c r="O4" s="11" t="s">
        <v>66</v>
      </c>
      <c r="Q4" s="198">
        <v>58.56</v>
      </c>
      <c r="R4" s="497">
        <v>-2.0400000000000001E-2</v>
      </c>
      <c r="T4" s="1"/>
      <c r="W4" s="131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5"/>
      <c r="AL4" s="231"/>
      <c r="AO4" s="231"/>
    </row>
    <row r="5" spans="1:4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5"/>
      <c r="AL5" s="231"/>
      <c r="AO5" s="231"/>
    </row>
    <row r="6" spans="1:4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5"/>
      <c r="AL6" s="231"/>
      <c r="AO6" s="231"/>
    </row>
    <row r="7" spans="1:42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1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5"/>
    </row>
    <row r="8" spans="1:42" x14ac:dyDescent="0.25">
      <c r="B8" s="4"/>
      <c r="C8" s="4"/>
      <c r="D8" s="4"/>
      <c r="E8" s="4"/>
      <c r="F8" s="4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5"/>
      <c r="AL8" s="231"/>
      <c r="AO8" s="231"/>
      <c r="AP8" s="231"/>
    </row>
    <row r="9" spans="1:42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5"/>
    </row>
    <row r="10" spans="1:42" x14ac:dyDescent="0.25">
      <c r="H10" s="71"/>
      <c r="O10" s="11" t="s">
        <v>210</v>
      </c>
      <c r="P10" s="34"/>
      <c r="Q10" s="2">
        <f>M36</f>
        <v>785.90999999999985</v>
      </c>
      <c r="T10" s="11"/>
      <c r="W10" s="131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5"/>
      <c r="AL10" s="231"/>
      <c r="AO10" s="231"/>
    </row>
    <row r="11" spans="1:42" x14ac:dyDescent="0.25">
      <c r="H11" s="71"/>
      <c r="O11" s="11" t="s">
        <v>176</v>
      </c>
      <c r="P11" s="34"/>
      <c r="Q11" s="135">
        <f>IF(U58="N/A (N/A)", 0, VALUE(TRIM(CLEAN(MID(U58, FIND("(", U58)+1, 5)))))</f>
        <v>1.29E-2</v>
      </c>
      <c r="T11" s="1"/>
      <c r="W11" s="131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5"/>
    </row>
    <row r="12" spans="1:42" x14ac:dyDescent="0.25">
      <c r="H12" s="71"/>
      <c r="W12" s="131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5"/>
      <c r="AL12" s="231"/>
      <c r="AO12" s="231"/>
    </row>
    <row r="13" spans="1:42" x14ac:dyDescent="0.25">
      <c r="H13" s="71"/>
      <c r="T13" s="1"/>
      <c r="W13" s="131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5"/>
    </row>
    <row r="14" spans="1:42" x14ac:dyDescent="0.25">
      <c r="H14" s="71"/>
      <c r="W14" s="131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5"/>
      <c r="AL14" s="231"/>
      <c r="AO14" s="231"/>
      <c r="AP14" s="231"/>
    </row>
    <row r="15" spans="1:42" x14ac:dyDescent="0.25">
      <c r="H15" s="71"/>
      <c r="W15" s="131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5"/>
    </row>
    <row r="16" spans="1:42" x14ac:dyDescent="0.25">
      <c r="H16" s="71"/>
      <c r="O16" s="2"/>
      <c r="P16" s="2"/>
      <c r="Q16" s="2"/>
      <c r="T16" s="69"/>
      <c r="W16" s="131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5"/>
    </row>
    <row r="17" spans="1:41" x14ac:dyDescent="0.25">
      <c r="H17" s="71"/>
      <c r="O17" s="2"/>
      <c r="P17" s="2"/>
      <c r="Q17" s="2"/>
      <c r="W17" s="131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5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1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5"/>
      <c r="AL18" s="231"/>
      <c r="AO18" s="231"/>
    </row>
    <row r="19" spans="1:4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SumByColor($A$19,F2:F5)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O19" s="2"/>
      <c r="P19" s="2"/>
      <c r="Q19" s="2"/>
      <c r="W19" s="131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5"/>
    </row>
    <row r="20" spans="1:41" x14ac:dyDescent="0.25">
      <c r="O20" s="2"/>
      <c r="P20" s="2"/>
      <c r="Q20" s="2"/>
      <c r="W20" s="131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5"/>
    </row>
    <row r="21" spans="1:41" x14ac:dyDescent="0.25">
      <c r="O21" s="2"/>
      <c r="P21" s="2"/>
      <c r="Q21" s="2"/>
      <c r="W21" s="131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5"/>
    </row>
    <row r="22" spans="1:4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2" t="s">
        <v>65</v>
      </c>
      <c r="G22" s="226" t="s">
        <v>151</v>
      </c>
      <c r="H22" s="226" t="s">
        <v>154</v>
      </c>
      <c r="I22" s="226" t="s">
        <v>530</v>
      </c>
      <c r="J22" s="226" t="s">
        <v>150</v>
      </c>
      <c r="K22" s="226" t="s">
        <v>740</v>
      </c>
      <c r="O22" s="2"/>
      <c r="P22" s="2"/>
      <c r="Q22" s="2"/>
      <c r="W22" s="131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5"/>
    </row>
    <row r="23" spans="1:41" x14ac:dyDescent="0.25">
      <c r="B23" s="190">
        <v>42873</v>
      </c>
      <c r="C23" s="10">
        <v>50</v>
      </c>
      <c r="D23" s="197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1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5"/>
    </row>
    <row r="24" spans="1:41" x14ac:dyDescent="0.25">
      <c r="B24" s="190"/>
      <c r="C24" s="10"/>
      <c r="D24" s="197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1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5"/>
    </row>
    <row r="25" spans="1:41" x14ac:dyDescent="0.25">
      <c r="B25" s="190"/>
      <c r="C25" s="10"/>
      <c r="D25" s="197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1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5"/>
    </row>
    <row r="26" spans="1:41" x14ac:dyDescent="0.25">
      <c r="B26" s="190"/>
      <c r="C26" s="10"/>
      <c r="D26" s="197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1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5"/>
    </row>
    <row r="27" spans="1:41" x14ac:dyDescent="0.25">
      <c r="B27" s="190"/>
      <c r="C27" s="10"/>
      <c r="D27" s="197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1">
        <v>42796</v>
      </c>
      <c r="X27" s="10" t="s">
        <v>280</v>
      </c>
      <c r="Y27" s="10"/>
      <c r="Z27" s="10"/>
      <c r="AA27" s="10"/>
      <c r="AB27" s="94"/>
      <c r="AC27" s="10"/>
      <c r="AE27" s="135"/>
    </row>
    <row r="28" spans="1:41" x14ac:dyDescent="0.25">
      <c r="B28" s="190"/>
      <c r="C28" s="10"/>
      <c r="D28" s="197"/>
      <c r="E28" s="40"/>
      <c r="F28" s="40"/>
      <c r="G28" s="40"/>
      <c r="H28" s="229"/>
      <c r="I28" s="40"/>
      <c r="J28" s="40"/>
      <c r="K28" s="40"/>
      <c r="O28" s="2"/>
      <c r="P28" s="2"/>
      <c r="Q28" s="2"/>
      <c r="W28" s="131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5"/>
    </row>
    <row r="29" spans="1:41" x14ac:dyDescent="0.25">
      <c r="B29" s="190"/>
      <c r="C29" s="10"/>
      <c r="D29" s="197"/>
      <c r="E29" s="40"/>
      <c r="F29" s="40"/>
      <c r="G29" s="40"/>
      <c r="H29" s="229"/>
      <c r="I29" s="40"/>
      <c r="J29" s="40"/>
      <c r="K29" s="40"/>
      <c r="W29" s="131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5"/>
    </row>
    <row r="30" spans="1:41" x14ac:dyDescent="0.25">
      <c r="B30" s="190"/>
      <c r="C30" s="10"/>
      <c r="D30" s="197"/>
      <c r="E30" s="40"/>
      <c r="F30" s="40"/>
      <c r="G30" s="40"/>
      <c r="H30" s="229"/>
      <c r="I30" s="40"/>
      <c r="J30" s="40"/>
      <c r="K30" s="40"/>
      <c r="W30" s="131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5"/>
    </row>
    <row r="31" spans="1:41" x14ac:dyDescent="0.25">
      <c r="B31" s="190"/>
      <c r="C31" s="10"/>
      <c r="D31" s="197"/>
      <c r="E31" s="40"/>
      <c r="F31" s="40"/>
      <c r="G31" s="40"/>
      <c r="H31" s="229"/>
      <c r="I31" s="40"/>
      <c r="J31" s="40"/>
      <c r="K31" s="40"/>
      <c r="W31" s="131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5"/>
    </row>
    <row r="32" spans="1:41" x14ac:dyDescent="0.25">
      <c r="B32" s="190"/>
      <c r="C32" s="10"/>
      <c r="D32" s="197"/>
      <c r="E32" s="40"/>
      <c r="F32" s="40"/>
      <c r="G32" s="40"/>
      <c r="H32" s="229"/>
      <c r="I32" s="40"/>
      <c r="J32" s="40"/>
      <c r="K32" s="40"/>
      <c r="W32" s="131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5"/>
    </row>
    <row r="33" spans="1:41" x14ac:dyDescent="0.25">
      <c r="B33" s="190"/>
      <c r="C33" s="10"/>
      <c r="D33" s="197"/>
      <c r="E33" s="40"/>
      <c r="F33" s="40"/>
      <c r="G33" s="40"/>
      <c r="H33" s="229"/>
      <c r="I33" s="40"/>
      <c r="J33" s="40"/>
      <c r="K33" s="40"/>
      <c r="W33" s="131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5"/>
    </row>
    <row r="34" spans="1:41" x14ac:dyDescent="0.25">
      <c r="B34" s="190"/>
      <c r="C34" s="10"/>
      <c r="D34" s="197"/>
      <c r="E34" s="40"/>
      <c r="F34" s="40"/>
      <c r="G34" s="40"/>
      <c r="H34" s="229"/>
      <c r="I34" s="40"/>
      <c r="J34" s="40"/>
      <c r="K34" s="40"/>
      <c r="W34" s="131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5"/>
    </row>
    <row r="35" spans="1:41" x14ac:dyDescent="0.25">
      <c r="W35" s="131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5"/>
    </row>
    <row r="36" spans="1:41" x14ac:dyDescent="0.25">
      <c r="L36" t="s">
        <v>65</v>
      </c>
      <c r="M36" s="2">
        <f>M54+K54-F54</f>
        <v>785.90999999999985</v>
      </c>
      <c r="W36" s="131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5"/>
      <c r="AL36" s="231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1" t="s">
        <v>7</v>
      </c>
      <c r="J37" s="491" t="s">
        <v>95</v>
      </c>
      <c r="K37" s="491" t="s">
        <v>61</v>
      </c>
      <c r="L37" s="32" t="s">
        <v>37</v>
      </c>
      <c r="M37" s="32" t="s">
        <v>38</v>
      </c>
      <c r="W37" s="131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5"/>
    </row>
    <row r="38" spans="1:41" x14ac:dyDescent="0.25">
      <c r="A38" s="262" t="s">
        <v>196</v>
      </c>
      <c r="B38" s="574">
        <v>42472</v>
      </c>
      <c r="C38" s="258">
        <v>50</v>
      </c>
      <c r="D38" s="259">
        <v>56.99</v>
      </c>
      <c r="E38" s="259">
        <v>0</v>
      </c>
      <c r="F38" s="259">
        <f t="shared" ref="F38:F46" si="0">C38*D38+E38</f>
        <v>2849.5</v>
      </c>
      <c r="G38" s="574">
        <v>42550</v>
      </c>
      <c r="H38" s="264">
        <v>50</v>
      </c>
      <c r="I38" s="259">
        <v>54.95</v>
      </c>
      <c r="J38" s="259">
        <v>7.01</v>
      </c>
      <c r="K38" s="259">
        <f>I38*H38-J38</f>
        <v>2740.49</v>
      </c>
      <c r="L38" s="263">
        <v>42556</v>
      </c>
      <c r="M38" s="259">
        <v>11.2</v>
      </c>
      <c r="W38" s="131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5"/>
    </row>
    <row r="39" spans="1:41" x14ac:dyDescent="0.25">
      <c r="A39" s="265" t="s">
        <v>71</v>
      </c>
      <c r="B39" s="574">
        <v>42521</v>
      </c>
      <c r="C39" s="258">
        <v>20</v>
      </c>
      <c r="D39" s="259">
        <v>55.21</v>
      </c>
      <c r="E39" s="259">
        <v>0</v>
      </c>
      <c r="F39" s="259">
        <f t="shared" si="0"/>
        <v>1104.2</v>
      </c>
      <c r="G39" s="574"/>
      <c r="H39" s="264"/>
      <c r="I39" s="259"/>
      <c r="J39" s="259"/>
      <c r="K39" s="259"/>
      <c r="L39" s="258"/>
      <c r="M39" s="258"/>
      <c r="W39" s="131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5"/>
    </row>
    <row r="40" spans="1:41" x14ac:dyDescent="0.25">
      <c r="A40" s="258"/>
      <c r="B40" s="574">
        <v>42524</v>
      </c>
      <c r="C40" s="258">
        <v>30</v>
      </c>
      <c r="D40" s="259">
        <v>53.75</v>
      </c>
      <c r="E40" s="259">
        <v>0</v>
      </c>
      <c r="F40" s="259">
        <f t="shared" si="0"/>
        <v>1612.5</v>
      </c>
      <c r="G40" s="574"/>
      <c r="H40" s="264"/>
      <c r="I40" s="259"/>
      <c r="J40" s="259"/>
      <c r="K40" s="259"/>
      <c r="L40" s="258"/>
      <c r="M40" s="258"/>
      <c r="W40" s="131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5"/>
    </row>
    <row r="41" spans="1:41" x14ac:dyDescent="0.25">
      <c r="A41" s="258"/>
      <c r="B41" s="574">
        <v>42524</v>
      </c>
      <c r="C41" s="258">
        <v>20</v>
      </c>
      <c r="D41" s="259">
        <v>53.4</v>
      </c>
      <c r="E41" s="259">
        <v>0</v>
      </c>
      <c r="F41" s="259">
        <f t="shared" si="0"/>
        <v>1068</v>
      </c>
      <c r="G41" s="574">
        <v>42563</v>
      </c>
      <c r="H41" s="264">
        <v>70</v>
      </c>
      <c r="I41" s="259">
        <v>57.78</v>
      </c>
      <c r="J41" s="259">
        <v>0.09</v>
      </c>
      <c r="K41" s="259">
        <f>I41*H41-J41</f>
        <v>4044.5099999999998</v>
      </c>
      <c r="L41" s="258"/>
      <c r="M41" s="258"/>
      <c r="W41" s="131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5"/>
    </row>
    <row r="42" spans="1:41" ht="20.25" thickBot="1" x14ac:dyDescent="0.35">
      <c r="A42" s="258"/>
      <c r="B42" s="574">
        <v>42545</v>
      </c>
      <c r="C42" s="258">
        <v>30</v>
      </c>
      <c r="D42" s="259">
        <v>52.38</v>
      </c>
      <c r="E42" s="259">
        <v>0</v>
      </c>
      <c r="F42" s="259">
        <f t="shared" si="0"/>
        <v>1571.4</v>
      </c>
      <c r="G42" s="574">
        <v>42593</v>
      </c>
      <c r="H42" s="264">
        <v>30</v>
      </c>
      <c r="I42" s="259">
        <v>56.38</v>
      </c>
      <c r="J42" s="259">
        <v>0.04</v>
      </c>
      <c r="K42" s="259">
        <f>I42*H42-J42</f>
        <v>1691.3600000000001</v>
      </c>
      <c r="L42" s="258"/>
      <c r="M42" s="258"/>
      <c r="T42" s="90" t="s">
        <v>112</v>
      </c>
      <c r="W42" s="131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5"/>
      <c r="AL42" s="231"/>
      <c r="AO42" s="231"/>
    </row>
    <row r="43" spans="1:41" ht="15.75" thickTop="1" x14ac:dyDescent="0.25">
      <c r="A43" s="258"/>
      <c r="B43" s="647">
        <v>42640</v>
      </c>
      <c r="C43" s="376">
        <v>20</v>
      </c>
      <c r="D43" s="377">
        <v>52.68</v>
      </c>
      <c r="E43" s="377">
        <v>0</v>
      </c>
      <c r="F43" s="377">
        <f t="shared" si="0"/>
        <v>1053.5999999999999</v>
      </c>
      <c r="G43" s="647">
        <v>42724</v>
      </c>
      <c r="H43" s="376">
        <v>20</v>
      </c>
      <c r="I43" s="377">
        <v>54.68</v>
      </c>
      <c r="J43" s="377">
        <v>0.02</v>
      </c>
      <c r="K43" s="377">
        <f>H43*I43-J43</f>
        <v>1093.58</v>
      </c>
      <c r="L43" s="375">
        <v>42739</v>
      </c>
      <c r="M43" s="377">
        <v>7.2</v>
      </c>
      <c r="T43" s="126" t="s">
        <v>97</v>
      </c>
      <c r="U43" s="127">
        <v>55.04</v>
      </c>
      <c r="W43" s="131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5"/>
    </row>
    <row r="44" spans="1:41" ht="20.25" thickBot="1" x14ac:dyDescent="0.35">
      <c r="A44" s="258"/>
      <c r="B44" s="647">
        <v>42640</v>
      </c>
      <c r="C44" s="376">
        <v>20</v>
      </c>
      <c r="D44" s="377">
        <v>52.68</v>
      </c>
      <c r="E44" s="377">
        <v>0</v>
      </c>
      <c r="F44" s="377">
        <f t="shared" si="0"/>
        <v>1053.5999999999999</v>
      </c>
      <c r="G44" s="647">
        <v>42741</v>
      </c>
      <c r="H44" s="380">
        <v>20</v>
      </c>
      <c r="I44" s="377">
        <v>53.94</v>
      </c>
      <c r="J44" s="377">
        <v>0.12</v>
      </c>
      <c r="K44" s="377">
        <f>H44*I44-J44</f>
        <v>1078.68</v>
      </c>
      <c r="L44" s="376"/>
      <c r="M44" s="376"/>
      <c r="O44" s="716" t="s">
        <v>78</v>
      </c>
      <c r="P44" s="716"/>
      <c r="T44" s="92" t="s">
        <v>98</v>
      </c>
      <c r="U44" s="128">
        <v>54.97</v>
      </c>
      <c r="W44" s="131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5"/>
    </row>
    <row r="45" spans="1:41" ht="15.75" thickTop="1" x14ac:dyDescent="0.25">
      <c r="A45" s="258"/>
      <c r="B45" s="668">
        <v>42724</v>
      </c>
      <c r="C45" s="553">
        <v>20</v>
      </c>
      <c r="D45" s="554">
        <v>52.68</v>
      </c>
      <c r="E45" s="554">
        <v>0</v>
      </c>
      <c r="F45" s="554">
        <f t="shared" si="0"/>
        <v>1053.5999999999999</v>
      </c>
      <c r="G45" s="668">
        <v>42774</v>
      </c>
      <c r="H45" s="555">
        <v>20</v>
      </c>
      <c r="I45" s="554">
        <v>53.88</v>
      </c>
      <c r="J45" s="554">
        <v>0.02</v>
      </c>
      <c r="K45" s="554">
        <f>I45*H45-J45</f>
        <v>1077.5800000000002</v>
      </c>
      <c r="L45" s="548"/>
      <c r="M45" s="554"/>
      <c r="O45" s="82">
        <v>1.1000000000000001</v>
      </c>
      <c r="P45" s="82">
        <f>O45*$Q$4</f>
        <v>64.416000000000011</v>
      </c>
      <c r="T45" s="92" t="s">
        <v>99</v>
      </c>
      <c r="U45" s="128" t="s">
        <v>128</v>
      </c>
      <c r="W45" s="131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5"/>
    </row>
    <row r="46" spans="1:41" x14ac:dyDescent="0.25">
      <c r="A46" s="258"/>
      <c r="B46" s="668">
        <v>42766</v>
      </c>
      <c r="C46" s="553">
        <v>20</v>
      </c>
      <c r="D46" s="554">
        <v>51.72</v>
      </c>
      <c r="E46" s="554">
        <v>0</v>
      </c>
      <c r="F46" s="554">
        <f t="shared" si="0"/>
        <v>1034.4000000000001</v>
      </c>
      <c r="G46" s="668">
        <v>42803</v>
      </c>
      <c r="H46" s="555">
        <v>20</v>
      </c>
      <c r="I46" s="554">
        <v>56.41</v>
      </c>
      <c r="J46" s="554">
        <v>0.12</v>
      </c>
      <c r="K46" s="554">
        <f>I46*H46-J46</f>
        <v>1128.08</v>
      </c>
      <c r="L46" s="553"/>
      <c r="M46" s="553"/>
      <c r="O46" s="82">
        <v>1.0900000000000001</v>
      </c>
      <c r="P46" s="82">
        <f t="shared" ref="P46:P65" si="1">O46*$Q$4</f>
        <v>63.830400000000004</v>
      </c>
      <c r="T46" s="92" t="s">
        <v>100</v>
      </c>
      <c r="U46" s="128" t="s">
        <v>128</v>
      </c>
      <c r="W46" s="131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5"/>
    </row>
    <row r="47" spans="1:41" x14ac:dyDescent="0.25">
      <c r="A47" s="258"/>
      <c r="B47" s="574"/>
      <c r="C47" s="258"/>
      <c r="D47" s="258"/>
      <c r="E47" s="258"/>
      <c r="F47" s="258"/>
      <c r="G47" s="574"/>
      <c r="H47" s="264"/>
      <c r="I47" s="259"/>
      <c r="J47" s="259"/>
      <c r="K47" s="259"/>
      <c r="L47" s="263">
        <v>42829</v>
      </c>
      <c r="M47" s="259">
        <v>3.6</v>
      </c>
      <c r="O47" s="82">
        <v>1.08</v>
      </c>
      <c r="P47" s="82">
        <f t="shared" si="1"/>
        <v>63.244800000000005</v>
      </c>
      <c r="T47" s="92" t="s">
        <v>101</v>
      </c>
      <c r="U47" s="128">
        <v>62.36</v>
      </c>
      <c r="W47" s="131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5"/>
    </row>
    <row r="48" spans="1:41" x14ac:dyDescent="0.25">
      <c r="A48" s="258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3">
        <v>42921</v>
      </c>
      <c r="M48" s="259">
        <v>9</v>
      </c>
      <c r="O48" s="82">
        <v>1.07</v>
      </c>
      <c r="P48" s="82">
        <f t="shared" si="1"/>
        <v>62.659200000000006</v>
      </c>
      <c r="T48" s="92" t="s">
        <v>102</v>
      </c>
      <c r="U48" s="128">
        <v>0.43128899999999998</v>
      </c>
      <c r="W48" s="131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5"/>
    </row>
    <row r="49" spans="1:41" x14ac:dyDescent="0.25">
      <c r="A49" s="258"/>
      <c r="B49" s="574"/>
      <c r="C49" s="258"/>
      <c r="D49" s="258"/>
      <c r="E49" s="258"/>
      <c r="F49" s="258"/>
      <c r="G49" s="574"/>
      <c r="H49" s="264"/>
      <c r="I49" s="259"/>
      <c r="J49" s="259"/>
      <c r="K49" s="259"/>
      <c r="L49" s="258"/>
      <c r="M49" s="258"/>
      <c r="O49" s="82">
        <v>1.06</v>
      </c>
      <c r="P49" s="82">
        <f t="shared" si="1"/>
        <v>62.073600000000006</v>
      </c>
      <c r="T49" s="92" t="s">
        <v>121</v>
      </c>
      <c r="U49" s="128" t="s">
        <v>560</v>
      </c>
      <c r="W49" s="131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5"/>
    </row>
    <row r="50" spans="1:41" x14ac:dyDescent="0.25">
      <c r="A50" s="258"/>
      <c r="B50" s="574"/>
      <c r="C50" s="258"/>
      <c r="D50" s="258"/>
      <c r="E50" s="258"/>
      <c r="F50" s="258"/>
      <c r="G50" s="574"/>
      <c r="H50" s="264"/>
      <c r="I50" s="259"/>
      <c r="J50" s="259"/>
      <c r="K50" s="259"/>
      <c r="L50" s="258"/>
      <c r="M50" s="258"/>
      <c r="O50" s="82">
        <v>1.05</v>
      </c>
      <c r="P50" s="82">
        <f t="shared" si="1"/>
        <v>61.488000000000007</v>
      </c>
      <c r="T50" s="92"/>
      <c r="U50" s="128"/>
      <c r="W50" s="131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5"/>
      <c r="AL50" s="231"/>
      <c r="AO50" s="231"/>
    </row>
    <row r="51" spans="1:41" x14ac:dyDescent="0.25">
      <c r="A51" s="258"/>
      <c r="B51" s="574"/>
      <c r="C51" s="258"/>
      <c r="D51" s="258"/>
      <c r="E51" s="258"/>
      <c r="F51" s="258"/>
      <c r="G51" s="574"/>
      <c r="H51" s="264"/>
      <c r="I51" s="259"/>
      <c r="J51" s="259"/>
      <c r="K51" s="259"/>
      <c r="L51" s="258"/>
      <c r="M51" s="258"/>
      <c r="O51" s="82">
        <v>1.04</v>
      </c>
      <c r="P51" s="82">
        <f t="shared" si="1"/>
        <v>60.902400000000007</v>
      </c>
      <c r="T51" s="92" t="s">
        <v>104</v>
      </c>
      <c r="U51" s="128" t="s">
        <v>655</v>
      </c>
      <c r="W51" s="131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5"/>
    </row>
    <row r="52" spans="1:41" x14ac:dyDescent="0.25">
      <c r="A52" s="258"/>
      <c r="B52" s="574"/>
      <c r="C52" s="258"/>
      <c r="D52" s="258"/>
      <c r="E52" s="258"/>
      <c r="F52" s="258"/>
      <c r="G52" s="574"/>
      <c r="H52" s="264"/>
      <c r="I52" s="259"/>
      <c r="J52" s="259"/>
      <c r="K52" s="259"/>
      <c r="L52" s="258"/>
      <c r="M52" s="258"/>
      <c r="O52" s="82">
        <v>1.03</v>
      </c>
      <c r="P52" s="82">
        <f t="shared" si="1"/>
        <v>60.316800000000001</v>
      </c>
      <c r="T52" s="92" t="s">
        <v>105</v>
      </c>
      <c r="U52" s="128" t="s">
        <v>656</v>
      </c>
      <c r="W52" s="131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5"/>
    </row>
    <row r="53" spans="1:41" x14ac:dyDescent="0.25">
      <c r="A53" s="258"/>
      <c r="B53" s="574"/>
      <c r="C53" s="258"/>
      <c r="D53" s="258"/>
      <c r="E53" s="258"/>
      <c r="F53" s="258"/>
      <c r="G53" s="574"/>
      <c r="H53" s="264"/>
      <c r="I53" s="259"/>
      <c r="J53" s="259"/>
      <c r="K53" s="259"/>
      <c r="L53" s="258"/>
      <c r="M53" s="258"/>
      <c r="O53" s="82">
        <v>1.02</v>
      </c>
      <c r="P53" s="82">
        <f t="shared" si="1"/>
        <v>59.731200000000001</v>
      </c>
      <c r="T53" s="92" t="s">
        <v>106</v>
      </c>
      <c r="U53" s="129">
        <v>7722093</v>
      </c>
      <c r="W53" s="131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5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59.145600000000002</v>
      </c>
      <c r="T54" s="92" t="s">
        <v>109</v>
      </c>
      <c r="U54" s="129">
        <v>9541230</v>
      </c>
      <c r="W54" s="131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5"/>
      <c r="AL54" s="231"/>
      <c r="AO54" s="231"/>
    </row>
    <row r="55" spans="1:41" ht="15.75" thickBot="1" x14ac:dyDescent="0.3">
      <c r="A55" s="460" t="s">
        <v>195</v>
      </c>
      <c r="B55" s="461"/>
      <c r="C55" s="462">
        <f>SumByColor($A$19,C38:C53)</f>
        <v>0</v>
      </c>
      <c r="D55" s="462"/>
      <c r="E55" s="462"/>
      <c r="F55" s="463">
        <f>SumByColor($A$19,F38:F41)</f>
        <v>0</v>
      </c>
      <c r="G55" s="462"/>
      <c r="H55" s="462">
        <f>SumByColor($A$19,H38:H53)</f>
        <v>0</v>
      </c>
      <c r="I55" s="462"/>
      <c r="J55" s="462"/>
      <c r="K55" s="463">
        <f>SumByColor($A$19,K38:K53)</f>
        <v>0</v>
      </c>
      <c r="L55" s="462"/>
      <c r="M55" s="463">
        <f>SumByColor($A$19,M38:M53)</f>
        <v>0</v>
      </c>
      <c r="O55" s="82">
        <v>1</v>
      </c>
      <c r="P55" s="82">
        <f t="shared" si="1"/>
        <v>58.56</v>
      </c>
      <c r="T55" s="92" t="s">
        <v>107</v>
      </c>
      <c r="U55" s="128" t="s">
        <v>657</v>
      </c>
      <c r="W55" s="131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5"/>
    </row>
    <row r="56" spans="1:41" x14ac:dyDescent="0.25">
      <c r="O56" s="82">
        <v>0.99</v>
      </c>
      <c r="P56" s="82">
        <f t="shared" si="1"/>
        <v>57.974400000000003</v>
      </c>
      <c r="T56" s="92" t="s">
        <v>110</v>
      </c>
      <c r="U56" s="128">
        <v>22.94</v>
      </c>
      <c r="W56" s="131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5"/>
    </row>
    <row r="57" spans="1:41" x14ac:dyDescent="0.25">
      <c r="O57" s="82">
        <v>0.98</v>
      </c>
      <c r="P57" s="82">
        <f t="shared" si="1"/>
        <v>57.388800000000003</v>
      </c>
      <c r="T57" s="92" t="s">
        <v>111</v>
      </c>
      <c r="U57" s="128">
        <v>2.4</v>
      </c>
      <c r="W57" s="131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5"/>
    </row>
    <row r="58" spans="1:41" x14ac:dyDescent="0.25">
      <c r="O58" s="82">
        <v>0.97</v>
      </c>
      <c r="P58" s="82">
        <f t="shared" si="1"/>
        <v>56.803200000000004</v>
      </c>
      <c r="T58" s="92" t="s">
        <v>108</v>
      </c>
      <c r="U58" s="128" t="s">
        <v>581</v>
      </c>
      <c r="W58" s="131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5"/>
      <c r="AL58" s="231"/>
      <c r="AO58" s="231"/>
    </row>
    <row r="59" spans="1:41" x14ac:dyDescent="0.25">
      <c r="O59" s="82">
        <v>0.96</v>
      </c>
      <c r="P59" s="82">
        <f t="shared" si="1"/>
        <v>56.217599999999997</v>
      </c>
      <c r="W59" s="131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5"/>
    </row>
    <row r="60" spans="1:41" x14ac:dyDescent="0.25">
      <c r="O60" s="82">
        <v>0.95</v>
      </c>
      <c r="P60" s="82">
        <f t="shared" si="1"/>
        <v>55.631999999999998</v>
      </c>
      <c r="W60" s="131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5"/>
    </row>
    <row r="61" spans="1:41" x14ac:dyDescent="0.25">
      <c r="O61" s="82">
        <v>0.94</v>
      </c>
      <c r="P61" s="82">
        <f t="shared" si="1"/>
        <v>55.046399999999998</v>
      </c>
      <c r="W61" s="131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5"/>
    </row>
    <row r="62" spans="1:41" x14ac:dyDescent="0.25">
      <c r="O62" s="82">
        <v>0.93</v>
      </c>
      <c r="P62" s="82">
        <f t="shared" si="1"/>
        <v>54.460800000000006</v>
      </c>
      <c r="W62" s="131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5"/>
    </row>
    <row r="63" spans="1:41" x14ac:dyDescent="0.25">
      <c r="O63" s="82">
        <v>0.92</v>
      </c>
      <c r="P63" s="82">
        <f t="shared" si="1"/>
        <v>53.875200000000007</v>
      </c>
      <c r="W63" s="131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5"/>
    </row>
    <row r="64" spans="1:41" x14ac:dyDescent="0.25">
      <c r="O64" s="82">
        <v>0.91</v>
      </c>
      <c r="P64" s="82">
        <f t="shared" si="1"/>
        <v>53.289600000000007</v>
      </c>
      <c r="W64" s="131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5"/>
    </row>
    <row r="65" spans="15:31" x14ac:dyDescent="0.25">
      <c r="O65" s="82">
        <v>0.9</v>
      </c>
      <c r="P65" s="82">
        <f t="shared" si="1"/>
        <v>52.704000000000001</v>
      </c>
      <c r="W65" s="131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5"/>
    </row>
    <row r="66" spans="15:31" x14ac:dyDescent="0.25">
      <c r="W66" s="131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5"/>
    </row>
    <row r="67" spans="15:31" x14ac:dyDescent="0.25">
      <c r="W67" s="131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5"/>
    </row>
    <row r="68" spans="15:31" x14ac:dyDescent="0.25">
      <c r="W68" s="131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5"/>
    </row>
    <row r="69" spans="15:31" x14ac:dyDescent="0.25">
      <c r="W69" s="281" t="s">
        <v>120</v>
      </c>
      <c r="AB69" s="232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54" priority="57">
      <formula>F27&gt;0</formula>
    </cfRule>
    <cfRule type="expression" dxfId="753" priority="58">
      <formula>F27&lt;0</formula>
    </cfRule>
  </conditionalFormatting>
  <conditionalFormatting sqref="H28:H33">
    <cfRule type="expression" dxfId="752" priority="53">
      <formula>H28&gt;0</formula>
    </cfRule>
    <cfRule type="expression" dxfId="751" priority="54">
      <formula>H28&lt;0</formula>
    </cfRule>
  </conditionalFormatting>
  <conditionalFormatting sqref="F24:F26">
    <cfRule type="expression" dxfId="750" priority="39">
      <formula>F24&gt;0</formula>
    </cfRule>
    <cfRule type="expression" dxfId="749" priority="40">
      <formula>F24&lt;0</formula>
    </cfRule>
  </conditionalFormatting>
  <conditionalFormatting sqref="Q8">
    <cfRule type="expression" dxfId="748" priority="33">
      <formula>Q8&gt;0</formula>
    </cfRule>
    <cfRule type="expression" dxfId="747" priority="34">
      <formula>Q8&lt;0</formula>
    </cfRule>
  </conditionalFormatting>
  <conditionalFormatting sqref="Q7">
    <cfRule type="expression" dxfId="746" priority="35">
      <formula>Q7&gt;0</formula>
    </cfRule>
    <cfRule type="expression" dxfId="745" priority="36">
      <formula>Q7&lt;0</formula>
    </cfRule>
  </conditionalFormatting>
  <conditionalFormatting sqref="F34">
    <cfRule type="expression" dxfId="744" priority="31">
      <formula>F34&gt;0</formula>
    </cfRule>
    <cfRule type="expression" dxfId="743" priority="32">
      <formula>F34&lt;0</formula>
    </cfRule>
  </conditionalFormatting>
  <conditionalFormatting sqref="H34">
    <cfRule type="expression" dxfId="742" priority="29">
      <formula>H34&gt;0</formula>
    </cfRule>
    <cfRule type="expression" dxfId="741" priority="30">
      <formula>H34&lt;0</formula>
    </cfRule>
  </conditionalFormatting>
  <conditionalFormatting sqref="M36">
    <cfRule type="expression" dxfId="740" priority="19">
      <formula>M36&gt;0</formula>
    </cfRule>
    <cfRule type="expression" dxfId="739" priority="20">
      <formula>M36&lt;0</formula>
    </cfRule>
  </conditionalFormatting>
  <conditionalFormatting sqref="Q10">
    <cfRule type="expression" dxfId="738" priority="15">
      <formula>Q10&gt;0</formula>
    </cfRule>
    <cfRule type="expression" dxfId="737" priority="16">
      <formula>Q10&lt;0</formula>
    </cfRule>
  </conditionalFormatting>
  <conditionalFormatting sqref="F23">
    <cfRule type="expression" dxfId="736" priority="13">
      <formula>F23&gt;0</formula>
    </cfRule>
    <cfRule type="expression" dxfId="735" priority="14">
      <formula>F23&lt;0</formula>
    </cfRule>
  </conditionalFormatting>
  <conditionalFormatting sqref="I25:J25">
    <cfRule type="expression" dxfId="734" priority="9">
      <formula>I25&gt;0</formula>
    </cfRule>
    <cfRule type="expression" dxfId="733" priority="10">
      <formula>I25&lt;0</formula>
    </cfRule>
  </conditionalFormatting>
  <conditionalFormatting sqref="I26:J27">
    <cfRule type="expression" dxfId="732" priority="7">
      <formula>I26&gt;0</formula>
    </cfRule>
    <cfRule type="expression" dxfId="731" priority="8">
      <formula>I26&lt;0</formula>
    </cfRule>
  </conditionalFormatting>
  <conditionalFormatting sqref="K25:K27">
    <cfRule type="expression" dxfId="730" priority="5">
      <formula>K25&gt;0</formula>
    </cfRule>
    <cfRule type="expression" dxfId="729" priority="6">
      <formula>K25&lt;0</formula>
    </cfRule>
  </conditionalFormatting>
  <conditionalFormatting sqref="I23:J23">
    <cfRule type="expression" dxfId="728" priority="3">
      <formula>I23&gt;0</formula>
    </cfRule>
    <cfRule type="expression" dxfId="72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452">
        <v>42758</v>
      </c>
      <c r="C2">
        <v>100</v>
      </c>
      <c r="D2" s="2">
        <v>31.18</v>
      </c>
      <c r="E2" s="2">
        <v>0</v>
      </c>
      <c r="F2" s="3">
        <f t="shared" ref="F2:F12" si="0">D2*C2+E2</f>
        <v>3118</v>
      </c>
      <c r="G2" s="452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800</v>
      </c>
      <c r="T2" s="454" t="s">
        <v>240</v>
      </c>
      <c r="W2" s="131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5">
        <f>AC2/AC3-1</f>
        <v>-5.4869684499314619E-3</v>
      </c>
    </row>
    <row r="3" spans="1:31" x14ac:dyDescent="0.25">
      <c r="A3" s="23" t="s">
        <v>71</v>
      </c>
      <c r="B3" s="452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2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7">
        <f>IF(Q2=0, Q4, (F18-K18-M18)/Q2)</f>
        <v>24.087374999999998</v>
      </c>
      <c r="T3" s="1"/>
      <c r="W3" s="131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5">
        <f t="shared" ref="AE3:AE66" si="2">AC3/AC4-1</f>
        <v>8.6475268073331613E-3</v>
      </c>
    </row>
    <row r="4" spans="1:31" x14ac:dyDescent="0.25">
      <c r="B4" s="452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2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20.16</v>
      </c>
      <c r="R4" s="497">
        <v>-7.4000000000000003E-3</v>
      </c>
      <c r="T4" s="160"/>
      <c r="U4" s="1"/>
      <c r="W4" s="131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5">
        <f t="shared" si="2"/>
        <v>-9.2529129540781518E-3</v>
      </c>
    </row>
    <row r="5" spans="1:31" x14ac:dyDescent="0.25">
      <c r="B5" s="452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2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16128</v>
      </c>
      <c r="W5" s="131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5">
        <f t="shared" si="2"/>
        <v>-5.7921635434412533E-3</v>
      </c>
    </row>
    <row r="6" spans="1:31" x14ac:dyDescent="0.25">
      <c r="B6" s="452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2"/>
      <c r="I6" s="3"/>
      <c r="J6" s="3"/>
      <c r="K6" s="3"/>
      <c r="L6" s="4"/>
      <c r="O6" s="11" t="s">
        <v>64</v>
      </c>
      <c r="Q6" s="2">
        <f>Q3*Q2</f>
        <v>19269.899999999998</v>
      </c>
      <c r="W6" s="131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5">
        <f t="shared" si="2"/>
        <v>-4.4097693351424772E-3</v>
      </c>
    </row>
    <row r="7" spans="1:31" x14ac:dyDescent="0.25">
      <c r="B7" s="452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2"/>
      <c r="I7" s="3"/>
      <c r="J7" s="3"/>
      <c r="K7" s="3"/>
      <c r="L7" s="4"/>
      <c r="O7" s="11" t="s">
        <v>179</v>
      </c>
      <c r="Q7" s="2">
        <f>Q10+Q8</f>
        <v>-1689.6399999999994</v>
      </c>
      <c r="R7">
        <v>400</v>
      </c>
      <c r="W7" s="131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5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-3141.8999999999978</v>
      </c>
      <c r="W8" s="131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5">
        <f t="shared" si="2"/>
        <v>1.8505586592178824E-2</v>
      </c>
    </row>
    <row r="9" spans="1:31" x14ac:dyDescent="0.25">
      <c r="B9" s="73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2"/>
      <c r="I9" s="3"/>
      <c r="J9" s="3"/>
      <c r="K9" s="3"/>
      <c r="O9" s="11" t="s">
        <v>211</v>
      </c>
      <c r="Q9" s="135">
        <f>IF(Q2=0, 0, Q8/Q6)</f>
        <v>-0.16304703189949082</v>
      </c>
      <c r="W9" s="131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5">
        <f t="shared" si="2"/>
        <v>-3.826086956521757E-3</v>
      </c>
    </row>
    <row r="10" spans="1:31" x14ac:dyDescent="0.25">
      <c r="B10" s="496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2"/>
      <c r="I10" s="3"/>
      <c r="J10" s="3"/>
      <c r="K10" s="3"/>
      <c r="O10" s="11" t="s">
        <v>210</v>
      </c>
      <c r="P10" s="34"/>
      <c r="Q10" s="2">
        <f>M94</f>
        <v>1452.2599999999984</v>
      </c>
      <c r="W10" s="131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5">
        <f t="shared" si="2"/>
        <v>-8.6206896551723755E-3</v>
      </c>
    </row>
    <row r="11" spans="1:31" x14ac:dyDescent="0.25">
      <c r="B11" s="49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176</v>
      </c>
      <c r="P11" s="34"/>
      <c r="Q11" s="135">
        <f>IF(U58="N/A (N/A)", 0, VALUE(TRIM(CLEAN(MID(U58, FIND("(", U58)+1, 5)))))</f>
        <v>2.06E-2</v>
      </c>
      <c r="W11" s="131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5">
        <f t="shared" si="2"/>
        <v>8.6956521739129933E-3</v>
      </c>
    </row>
    <row r="12" spans="1:31" x14ac:dyDescent="0.25">
      <c r="B12" s="49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1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5">
        <f t="shared" si="2"/>
        <v>3.840782122904951E-3</v>
      </c>
    </row>
    <row r="13" spans="1:31" x14ac:dyDescent="0.25">
      <c r="H13" s="71"/>
      <c r="W13" s="131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5">
        <f t="shared" si="2"/>
        <v>-2.0854700854700869E-2</v>
      </c>
    </row>
    <row r="14" spans="1:31" x14ac:dyDescent="0.25">
      <c r="H14" s="71"/>
      <c r="W14" s="131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5">
        <f t="shared" si="2"/>
        <v>2.7425437092902794E-3</v>
      </c>
    </row>
    <row r="15" spans="1:31" x14ac:dyDescent="0.25">
      <c r="H15" s="71"/>
      <c r="W15" s="131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5">
        <f t="shared" si="2"/>
        <v>6.2090375991723512E-3</v>
      </c>
    </row>
    <row r="16" spans="1:31" x14ac:dyDescent="0.25">
      <c r="H16" s="71"/>
      <c r="W16" s="131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5">
        <f t="shared" si="2"/>
        <v>-5.14756348661638E-3</v>
      </c>
    </row>
    <row r="17" spans="1:31" x14ac:dyDescent="0.25">
      <c r="W17" s="131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5">
        <f t="shared" si="2"/>
        <v>1.8881118881118875E-2</v>
      </c>
    </row>
    <row r="18" spans="1:31" x14ac:dyDescent="0.25">
      <c r="A18" s="32" t="s">
        <v>81</v>
      </c>
      <c r="B18" s="14"/>
      <c r="C18" s="14">
        <f>SUM(C2:C12)</f>
        <v>1500</v>
      </c>
      <c r="D18" s="18"/>
      <c r="E18" s="18"/>
      <c r="F18" s="18">
        <f>SUM(F2:F12)</f>
        <v>36944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1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5">
        <f t="shared" si="2"/>
        <v>-1.7857142857142794E-2</v>
      </c>
    </row>
    <row r="19" spans="1:31" ht="15.75" thickBot="1" x14ac:dyDescent="0.3">
      <c r="A19" s="351" t="s">
        <v>195</v>
      </c>
      <c r="B19" s="352"/>
      <c r="C19" s="353">
        <f>SumByColor($A$19,C2:C17)</f>
        <v>700</v>
      </c>
      <c r="D19" s="353"/>
      <c r="E19" s="353"/>
      <c r="F19" s="354">
        <f>SumByColor($A$19,F2:F17)</f>
        <v>16740</v>
      </c>
      <c r="G19" s="353"/>
      <c r="H19" s="353">
        <f>SumByColor($A$19,H2:H17)</f>
        <v>700</v>
      </c>
      <c r="I19" s="353"/>
      <c r="J19" s="353"/>
      <c r="K19" s="354">
        <f>SumByColor($A$19,K2:K17)</f>
        <v>17557</v>
      </c>
      <c r="L19" s="353"/>
      <c r="M19" s="354">
        <f>SumByColor($A$19,M2:M17)</f>
        <v>118</v>
      </c>
      <c r="W19" s="131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5">
        <f t="shared" si="2"/>
        <v>-2.3980815347721673E-3</v>
      </c>
    </row>
    <row r="20" spans="1:31" x14ac:dyDescent="0.25">
      <c r="W20" s="131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5">
        <f t="shared" si="2"/>
        <v>6.5517241379311475E-3</v>
      </c>
    </row>
    <row r="21" spans="1:31" x14ac:dyDescent="0.25">
      <c r="W21" s="131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5">
        <f t="shared" si="2"/>
        <v>1.1510289501220683E-2</v>
      </c>
    </row>
    <row r="22" spans="1:31" x14ac:dyDescent="0.25">
      <c r="B22" s="508" t="s">
        <v>113</v>
      </c>
      <c r="C22" s="508" t="s">
        <v>146</v>
      </c>
      <c r="D22" s="509" t="s">
        <v>145</v>
      </c>
      <c r="E22" s="510" t="s">
        <v>147</v>
      </c>
      <c r="F22" s="510" t="s">
        <v>65</v>
      </c>
      <c r="G22" s="512" t="s">
        <v>151</v>
      </c>
      <c r="H22" s="512" t="s">
        <v>88</v>
      </c>
      <c r="I22" s="512" t="s">
        <v>154</v>
      </c>
      <c r="J22" s="512" t="s">
        <v>530</v>
      </c>
      <c r="K22" s="512" t="s">
        <v>150</v>
      </c>
      <c r="W22" s="131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5">
        <f t="shared" si="2"/>
        <v>-1.7477724468814237E-2</v>
      </c>
    </row>
    <row r="23" spans="1:31" x14ac:dyDescent="0.25">
      <c r="B23" s="548">
        <v>42754</v>
      </c>
      <c r="C23" s="553">
        <v>100</v>
      </c>
      <c r="D23" s="554">
        <v>27.58</v>
      </c>
      <c r="E23" s="554">
        <v>30.25</v>
      </c>
      <c r="F23" s="554">
        <f t="shared" ref="F23:F28" si="3">C23*(E23-D23)</f>
        <v>267.00000000000017</v>
      </c>
      <c r="G23" s="554">
        <f t="shared" ref="G23:G28" si="4">D23*C23</f>
        <v>2758</v>
      </c>
      <c r="H23" s="595">
        <f t="shared" ref="H23:H28" si="5">(E23-D23)/D23</f>
        <v>9.6809282088469978E-2</v>
      </c>
      <c r="I23" s="554"/>
      <c r="J23" s="554"/>
      <c r="K23" s="554"/>
      <c r="W23" s="131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5">
        <f t="shared" si="2"/>
        <v>-1.5851602023608691E-2</v>
      </c>
    </row>
    <row r="24" spans="1:31" x14ac:dyDescent="0.25">
      <c r="B24" s="548">
        <v>42758</v>
      </c>
      <c r="C24" s="553">
        <v>100</v>
      </c>
      <c r="D24" s="554">
        <v>27.180700000000002</v>
      </c>
      <c r="E24" s="554">
        <v>31.55</v>
      </c>
      <c r="F24" s="554">
        <f t="shared" si="3"/>
        <v>436.92999999999989</v>
      </c>
      <c r="G24" s="554">
        <f t="shared" si="4"/>
        <v>2718.07</v>
      </c>
      <c r="H24" s="595">
        <f t="shared" si="5"/>
        <v>0.16075009105725749</v>
      </c>
      <c r="I24" s="554"/>
      <c r="J24" s="554"/>
      <c r="K24" s="554"/>
      <c r="W24" s="131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5">
        <f t="shared" si="2"/>
        <v>-1.886168100595631E-2</v>
      </c>
    </row>
    <row r="25" spans="1:31" x14ac:dyDescent="0.25">
      <c r="A25" t="s">
        <v>367</v>
      </c>
      <c r="B25" s="190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8">
        <f t="shared" si="5"/>
        <v>1.1866581141757569E-2</v>
      </c>
      <c r="I25" s="40"/>
      <c r="J25" s="40"/>
      <c r="K25" s="40"/>
      <c r="W25" s="131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5">
        <f t="shared" si="2"/>
        <v>-6.5746219592374144E-3</v>
      </c>
    </row>
    <row r="26" spans="1:31" x14ac:dyDescent="0.25">
      <c r="A26" t="s">
        <v>367</v>
      </c>
      <c r="B26" s="190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8">
        <f t="shared" si="5"/>
        <v>6.6709429121231498E-2</v>
      </c>
      <c r="I26" s="40"/>
      <c r="J26" s="40"/>
      <c r="K26" s="40"/>
      <c r="W26" s="131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5">
        <f t="shared" si="2"/>
        <v>-1.9658395101514681E-2</v>
      </c>
    </row>
    <row r="27" spans="1:31" x14ac:dyDescent="0.25">
      <c r="A27" t="s">
        <v>356</v>
      </c>
      <c r="B27" s="190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8">
        <f t="shared" si="5"/>
        <v>7.8896728672225816E-2</v>
      </c>
      <c r="I27" s="40"/>
      <c r="J27" s="40"/>
      <c r="K27" s="40"/>
      <c r="W27" s="131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5">
        <f t="shared" si="2"/>
        <v>-5.1298493106765042E-3</v>
      </c>
    </row>
    <row r="28" spans="1:31" x14ac:dyDescent="0.25">
      <c r="A28">
        <v>100</v>
      </c>
      <c r="B28" s="190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8">
        <f t="shared" si="5"/>
        <v>-4.1233657391887259E-2</v>
      </c>
      <c r="I28" s="40"/>
      <c r="J28" s="40">
        <v>30.72</v>
      </c>
      <c r="K28" s="40">
        <v>1207</v>
      </c>
      <c r="W28" s="131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5" t="e">
        <f t="shared" si="2"/>
        <v>#DIV/0!</v>
      </c>
    </row>
    <row r="29" spans="1:31" x14ac:dyDescent="0.25">
      <c r="A29">
        <v>0</v>
      </c>
      <c r="B29" s="190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8">
        <f t="shared" ref="H29" si="8">(E29-D29)/D29</f>
        <v>-5.2376213797454295E-2</v>
      </c>
      <c r="I29" s="40"/>
      <c r="J29" s="40"/>
      <c r="K29" s="40">
        <v>1291</v>
      </c>
      <c r="W29" s="131">
        <v>42794</v>
      </c>
      <c r="X29" s="10" t="s">
        <v>499</v>
      </c>
      <c r="Y29" s="10"/>
      <c r="Z29" s="10"/>
      <c r="AA29" s="10"/>
      <c r="AB29" s="94"/>
      <c r="AC29" s="10"/>
      <c r="AD29" s="2">
        <f t="shared" si="1"/>
        <v>0</v>
      </c>
      <c r="AE29" s="135">
        <f t="shared" si="2"/>
        <v>-1</v>
      </c>
    </row>
    <row r="30" spans="1:31" x14ac:dyDescent="0.25">
      <c r="A30">
        <v>0</v>
      </c>
      <c r="B30" s="190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8">
        <f t="shared" ref="H30:H43" si="11">(E30-D30)/D30</f>
        <v>-4.2840830041081988E-2</v>
      </c>
      <c r="I30" s="40"/>
      <c r="J30" s="40">
        <v>30</v>
      </c>
      <c r="K30" s="40">
        <v>1321</v>
      </c>
      <c r="W30" s="131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5">
        <f t="shared" si="2"/>
        <v>3.8523274478330372E-3</v>
      </c>
    </row>
    <row r="31" spans="1:31" x14ac:dyDescent="0.25">
      <c r="A31">
        <v>0</v>
      </c>
      <c r="B31" s="190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8">
        <f t="shared" si="11"/>
        <v>-2.4574334983408566E-2</v>
      </c>
      <c r="I31" s="40">
        <v>29</v>
      </c>
      <c r="J31" s="40"/>
      <c r="K31" s="40">
        <v>1308</v>
      </c>
      <c r="W31" s="131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5">
        <f t="shared" si="2"/>
        <v>-1.267828843106189E-2</v>
      </c>
    </row>
    <row r="32" spans="1:31" x14ac:dyDescent="0.25">
      <c r="A32">
        <v>100</v>
      </c>
      <c r="B32" s="190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8">
        <f t="shared" si="11"/>
        <v>-0.10718119748650932</v>
      </c>
      <c r="I32" s="40"/>
      <c r="J32" s="40"/>
      <c r="K32" s="40">
        <v>554</v>
      </c>
      <c r="W32" s="131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5">
        <f t="shared" si="2"/>
        <v>-3.9281364190012269E-2</v>
      </c>
    </row>
    <row r="33" spans="1:31" x14ac:dyDescent="0.25">
      <c r="A33">
        <v>100</v>
      </c>
      <c r="B33" s="190">
        <v>42858</v>
      </c>
      <c r="C33" s="579">
        <v>400</v>
      </c>
      <c r="D33" s="65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8">
        <f t="shared" si="11"/>
        <v>-0.11033282753145186</v>
      </c>
      <c r="I33" s="40"/>
      <c r="J33" s="40"/>
      <c r="K33" s="40"/>
      <c r="W33" s="131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5">
        <f t="shared" si="2"/>
        <v>-1.5292353823088356E-2</v>
      </c>
    </row>
    <row r="34" spans="1:31" x14ac:dyDescent="0.25">
      <c r="A34">
        <v>100</v>
      </c>
      <c r="B34" s="190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8">
        <f t="shared" si="11"/>
        <v>-0.12999603025907203</v>
      </c>
      <c r="I34" s="40"/>
      <c r="J34" s="40"/>
      <c r="K34" s="40">
        <v>50</v>
      </c>
      <c r="W34" s="131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5">
        <f t="shared" si="2"/>
        <v>1.5015015015016342E-3</v>
      </c>
    </row>
    <row r="35" spans="1:31" x14ac:dyDescent="0.25">
      <c r="A35">
        <v>200</v>
      </c>
      <c r="B35" s="190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8">
        <f t="shared" si="11"/>
        <v>-0.10612563402262969</v>
      </c>
      <c r="I35" s="40"/>
      <c r="J35" s="40"/>
      <c r="K35" s="40">
        <v>-179</v>
      </c>
      <c r="W35" s="131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5">
        <f t="shared" si="2"/>
        <v>1.3390139987827121E-2</v>
      </c>
    </row>
    <row r="36" spans="1:31" x14ac:dyDescent="0.25">
      <c r="B36" s="190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8">
        <f t="shared" si="11"/>
        <v>-0.1064042922949662</v>
      </c>
      <c r="I36" s="40"/>
      <c r="J36" s="40"/>
      <c r="K36" s="40">
        <v>331</v>
      </c>
      <c r="W36" s="131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5">
        <f t="shared" si="2"/>
        <v>-1.8811585547924836E-2</v>
      </c>
    </row>
    <row r="37" spans="1:31" x14ac:dyDescent="0.25">
      <c r="A37">
        <v>400</v>
      </c>
      <c r="B37" s="190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8">
        <f t="shared" si="11"/>
        <v>-0.10104719699874687</v>
      </c>
      <c r="I37" s="40"/>
      <c r="J37" s="40"/>
      <c r="K37" s="40">
        <v>-81.41</v>
      </c>
      <c r="W37" s="131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5">
        <f t="shared" si="2"/>
        <v>-6.8208778173189932E-3</v>
      </c>
    </row>
    <row r="38" spans="1:31" x14ac:dyDescent="0.25">
      <c r="A38">
        <v>400</v>
      </c>
      <c r="B38" s="190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8">
        <f t="shared" si="11"/>
        <v>-9.6877845868743054E-2</v>
      </c>
      <c r="I38" s="40"/>
      <c r="J38" s="40"/>
      <c r="K38" s="40">
        <v>-9.41</v>
      </c>
      <c r="W38" s="131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5">
        <f t="shared" si="2"/>
        <v>7.7704722056186615E-3</v>
      </c>
    </row>
    <row r="39" spans="1:31" x14ac:dyDescent="0.25">
      <c r="A39">
        <v>200</v>
      </c>
      <c r="B39" s="190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8">
        <f t="shared" si="11"/>
        <v>-5.9837392033379525E-2</v>
      </c>
      <c r="I39" s="40"/>
      <c r="J39" s="40"/>
      <c r="K39" s="40">
        <v>836</v>
      </c>
      <c r="W39" s="131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5">
        <f t="shared" si="2"/>
        <v>2.7325759901750013E-2</v>
      </c>
    </row>
    <row r="40" spans="1:31" ht="20.25" thickBot="1" x14ac:dyDescent="0.35">
      <c r="B40" s="190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8">
        <f t="shared" si="11"/>
        <v>-2.5744167337087714E-2</v>
      </c>
      <c r="I40" s="40"/>
      <c r="J40" s="40"/>
      <c r="K40" s="40">
        <v>1066</v>
      </c>
      <c r="O40" s="716" t="s">
        <v>78</v>
      </c>
      <c r="P40" s="716"/>
      <c r="W40" s="131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5">
        <f t="shared" si="2"/>
        <v>3.2329635499207532E-2</v>
      </c>
    </row>
    <row r="41" spans="1:31" ht="15.75" thickTop="1" x14ac:dyDescent="0.25">
      <c r="A41">
        <v>200</v>
      </c>
      <c r="B41" s="190">
        <v>42941</v>
      </c>
      <c r="C41" s="579">
        <v>400</v>
      </c>
      <c r="D41" s="650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8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22.176000000000002</v>
      </c>
      <c r="Q41" s="2"/>
      <c r="W41" s="131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5">
        <f t="shared" si="2"/>
        <v>-1.1901033510804848E-2</v>
      </c>
    </row>
    <row r="42" spans="1:31" ht="20.25" thickBot="1" x14ac:dyDescent="0.35">
      <c r="A42">
        <v>200</v>
      </c>
      <c r="B42" s="190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8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21.974400000000003</v>
      </c>
      <c r="Q42" s="2"/>
      <c r="T42" s="90" t="s">
        <v>112</v>
      </c>
      <c r="W42" s="131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5">
        <f t="shared" si="2"/>
        <v>-6.2597809076680999E-4</v>
      </c>
    </row>
    <row r="43" spans="1:31" ht="15.75" thickTop="1" x14ac:dyDescent="0.25">
      <c r="B43" s="190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8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21.7728</v>
      </c>
      <c r="Q43" s="2"/>
      <c r="T43" s="126" t="s">
        <v>97</v>
      </c>
      <c r="U43" s="127">
        <v>29.16</v>
      </c>
      <c r="W43" s="131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5">
        <f t="shared" si="2"/>
        <v>6.2992125984251413E-3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J44" s="40"/>
      <c r="K44" s="40"/>
      <c r="O44" s="82">
        <v>1.07</v>
      </c>
      <c r="P44" s="82">
        <f t="shared" si="12"/>
        <v>21.571200000000001</v>
      </c>
      <c r="Q44" s="2"/>
      <c r="T44" s="92" t="s">
        <v>98</v>
      </c>
      <c r="U44" s="128">
        <v>29.36</v>
      </c>
      <c r="W44" s="131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5">
        <f t="shared" si="2"/>
        <v>5.7016154577129718E-3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J45" s="40"/>
      <c r="K45" s="40"/>
      <c r="O45" s="82">
        <v>1.06</v>
      </c>
      <c r="P45" s="82">
        <f t="shared" si="12"/>
        <v>21.369600000000002</v>
      </c>
      <c r="Q45" s="2"/>
      <c r="T45" s="92" t="s">
        <v>99</v>
      </c>
      <c r="U45" s="128" t="s">
        <v>128</v>
      </c>
      <c r="W45" s="131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5">
        <f t="shared" si="2"/>
        <v>1.2508017960231044E-2</v>
      </c>
    </row>
    <row r="46" spans="1:31" x14ac:dyDescent="0.25">
      <c r="B46" s="190"/>
      <c r="C46" s="10"/>
      <c r="D46" s="40"/>
      <c r="E46" s="40"/>
      <c r="F46" s="40"/>
      <c r="G46" s="40"/>
      <c r="H46" s="228"/>
      <c r="I46" s="40"/>
      <c r="J46" s="40"/>
      <c r="K46" s="40"/>
      <c r="O46" s="82">
        <v>1.05</v>
      </c>
      <c r="P46" s="82">
        <f t="shared" si="12"/>
        <v>21.168000000000003</v>
      </c>
      <c r="Q46" s="2"/>
      <c r="T46" s="92" t="s">
        <v>100</v>
      </c>
      <c r="U46" s="128" t="s">
        <v>128</v>
      </c>
      <c r="W46" s="131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5">
        <f t="shared" si="2"/>
        <v>-7.0063694267515908E-3</v>
      </c>
    </row>
    <row r="47" spans="1:31" x14ac:dyDescent="0.25">
      <c r="B47" s="190"/>
      <c r="C47" s="10"/>
      <c r="D47" s="40"/>
      <c r="E47" s="40"/>
      <c r="F47" s="40"/>
      <c r="G47" s="40"/>
      <c r="H47" s="228"/>
      <c r="I47" s="40"/>
      <c r="J47" s="40"/>
      <c r="K47" s="40"/>
      <c r="O47" s="82">
        <v>1.04</v>
      </c>
      <c r="P47" s="82">
        <f t="shared" si="12"/>
        <v>20.9664</v>
      </c>
      <c r="Q47" s="2"/>
      <c r="T47" s="92" t="s">
        <v>101</v>
      </c>
      <c r="U47" s="128">
        <v>29.31</v>
      </c>
      <c r="W47" s="131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5">
        <f t="shared" si="2"/>
        <v>9.6463022508037621E-3</v>
      </c>
    </row>
    <row r="48" spans="1:31" x14ac:dyDescent="0.25">
      <c r="B48" s="190"/>
      <c r="C48" s="10"/>
      <c r="D48" s="40"/>
      <c r="E48" s="40"/>
      <c r="F48" s="40"/>
      <c r="G48" s="40"/>
      <c r="H48" s="228"/>
      <c r="I48" s="40"/>
      <c r="J48" s="40"/>
      <c r="K48" s="40"/>
      <c r="O48" s="82">
        <v>1.03</v>
      </c>
      <c r="P48" s="82">
        <f t="shared" si="12"/>
        <v>20.764800000000001</v>
      </c>
      <c r="Q48" s="2"/>
      <c r="T48" s="92" t="s">
        <v>102</v>
      </c>
      <c r="U48" s="128">
        <v>1.43591</v>
      </c>
      <c r="W48" s="131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5">
        <f t="shared" si="2"/>
        <v>1.3029315960912058E-2</v>
      </c>
    </row>
    <row r="49" spans="2:31" x14ac:dyDescent="0.25">
      <c r="O49" s="82">
        <v>1.02</v>
      </c>
      <c r="P49" s="82">
        <f t="shared" si="12"/>
        <v>20.563200000000002</v>
      </c>
      <c r="Q49" s="2"/>
      <c r="T49" s="92" t="s">
        <v>121</v>
      </c>
      <c r="U49" s="128" t="s">
        <v>444</v>
      </c>
      <c r="W49" s="131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5">
        <f t="shared" si="2"/>
        <v>-1.4446227929374E-2</v>
      </c>
    </row>
    <row r="50" spans="2:31" x14ac:dyDescent="0.25">
      <c r="O50" s="82">
        <v>1.01</v>
      </c>
      <c r="P50" s="82">
        <f t="shared" si="12"/>
        <v>20.361599999999999</v>
      </c>
      <c r="Q50" s="2"/>
      <c r="T50" s="92"/>
      <c r="U50" s="128"/>
      <c r="W50" s="131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5">
        <f t="shared" si="2"/>
        <v>-1.2991128010139463E-2</v>
      </c>
    </row>
    <row r="51" spans="2:31" x14ac:dyDescent="0.25">
      <c r="B51" s="508" t="s">
        <v>113</v>
      </c>
      <c r="C51" s="508" t="s">
        <v>146</v>
      </c>
      <c r="D51" s="509" t="s">
        <v>145</v>
      </c>
      <c r="E51" s="510" t="s">
        <v>147</v>
      </c>
      <c r="F51" s="510" t="s">
        <v>65</v>
      </c>
      <c r="G51" s="512" t="s">
        <v>151</v>
      </c>
      <c r="H51" s="512" t="s">
        <v>88</v>
      </c>
      <c r="I51" s="512" t="s">
        <v>154</v>
      </c>
      <c r="O51" s="82">
        <v>1</v>
      </c>
      <c r="P51" s="82">
        <f t="shared" si="12"/>
        <v>20.16</v>
      </c>
      <c r="Q51" s="2"/>
      <c r="T51" s="92" t="s">
        <v>104</v>
      </c>
      <c r="U51" s="128" t="s">
        <v>658</v>
      </c>
      <c r="W51" s="131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5">
        <f t="shared" si="2"/>
        <v>-4.2766151046405798E-2</v>
      </c>
    </row>
    <row r="52" spans="2:31" x14ac:dyDescent="0.25">
      <c r="B52" s="375">
        <v>42548</v>
      </c>
      <c r="C52" s="376">
        <v>100</v>
      </c>
      <c r="D52" s="377">
        <v>25</v>
      </c>
      <c r="E52" s="377">
        <v>24.69</v>
      </c>
      <c r="F52" s="377">
        <f t="shared" ref="F52:F57" si="13">C52*(E52-D52)</f>
        <v>-30.999999999999872</v>
      </c>
      <c r="G52" s="377">
        <f t="shared" ref="G52:G57" si="14">D52*C52</f>
        <v>2500</v>
      </c>
      <c r="H52" s="378">
        <f t="shared" ref="H52:H57" si="15">(E52-D52)/D52</f>
        <v>-1.2399999999999949E-2</v>
      </c>
      <c r="I52" s="377"/>
      <c r="O52" s="82">
        <v>0.99</v>
      </c>
      <c r="P52" s="82">
        <f t="shared" si="12"/>
        <v>19.958400000000001</v>
      </c>
      <c r="Q52" s="2"/>
      <c r="T52" s="92" t="s">
        <v>105</v>
      </c>
      <c r="U52" s="128" t="s">
        <v>458</v>
      </c>
      <c r="W52" s="131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5">
        <f t="shared" si="2"/>
        <v>-5.7297949336548859E-3</v>
      </c>
    </row>
    <row r="53" spans="2:31" x14ac:dyDescent="0.25">
      <c r="B53" s="375">
        <v>42549</v>
      </c>
      <c r="C53" s="376">
        <v>100</v>
      </c>
      <c r="D53" s="377">
        <v>25</v>
      </c>
      <c r="E53" s="377">
        <v>25.26</v>
      </c>
      <c r="F53" s="377">
        <f t="shared" si="13"/>
        <v>26.000000000000156</v>
      </c>
      <c r="G53" s="377">
        <f t="shared" si="14"/>
        <v>2500</v>
      </c>
      <c r="H53" s="378">
        <f t="shared" si="15"/>
        <v>1.0400000000000062E-2</v>
      </c>
      <c r="I53" s="377"/>
      <c r="O53" s="82">
        <v>0.98</v>
      </c>
      <c r="P53" s="82">
        <f t="shared" si="12"/>
        <v>19.756799999999998</v>
      </c>
      <c r="Q53" s="2"/>
      <c r="T53" s="92" t="s">
        <v>106</v>
      </c>
      <c r="U53" s="129">
        <v>5330429</v>
      </c>
      <c r="W53" s="131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5">
        <f t="shared" si="2"/>
        <v>6.0441317556763519E-2</v>
      </c>
    </row>
    <row r="54" spans="2:31" x14ac:dyDescent="0.25">
      <c r="B54" s="375">
        <v>42552</v>
      </c>
      <c r="C54" s="376">
        <v>100</v>
      </c>
      <c r="D54" s="377">
        <v>25</v>
      </c>
      <c r="E54" s="377">
        <v>26.57</v>
      </c>
      <c r="F54" s="377">
        <f t="shared" si="13"/>
        <v>157.00000000000003</v>
      </c>
      <c r="G54" s="377">
        <f t="shared" si="14"/>
        <v>2500</v>
      </c>
      <c r="H54" s="378">
        <f t="shared" si="15"/>
        <v>6.2800000000000009E-2</v>
      </c>
      <c r="I54" s="377"/>
      <c r="O54" s="82">
        <v>0.97</v>
      </c>
      <c r="P54" s="82">
        <f t="shared" si="12"/>
        <v>19.555199999999999</v>
      </c>
      <c r="T54" s="92" t="s">
        <v>109</v>
      </c>
      <c r="U54" s="129">
        <v>4563280</v>
      </c>
      <c r="W54" s="131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5">
        <f t="shared" si="2"/>
        <v>8.384392131570495E-3</v>
      </c>
    </row>
    <row r="55" spans="2:31" x14ac:dyDescent="0.25">
      <c r="B55" s="375">
        <v>42556</v>
      </c>
      <c r="C55" s="376">
        <v>100</v>
      </c>
      <c r="D55" s="377">
        <v>25</v>
      </c>
      <c r="E55" s="377">
        <v>25.47</v>
      </c>
      <c r="F55" s="377">
        <f t="shared" si="13"/>
        <v>46.999999999999886</v>
      </c>
      <c r="G55" s="377">
        <f t="shared" si="14"/>
        <v>2500</v>
      </c>
      <c r="H55" s="378">
        <f t="shared" si="15"/>
        <v>1.8799999999999956E-2</v>
      </c>
      <c r="I55" s="377"/>
      <c r="O55" s="82">
        <v>0.96</v>
      </c>
      <c r="P55" s="82">
        <f t="shared" si="12"/>
        <v>19.3536</v>
      </c>
      <c r="T55" s="92" t="s">
        <v>107</v>
      </c>
      <c r="U55" s="128" t="s">
        <v>659</v>
      </c>
      <c r="W55" s="131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5">
        <f t="shared" si="2"/>
        <v>3.4011337112370921E-2</v>
      </c>
    </row>
    <row r="56" spans="2:31" x14ac:dyDescent="0.25">
      <c r="B56" s="375">
        <v>42562</v>
      </c>
      <c r="C56" s="376">
        <v>100</v>
      </c>
      <c r="D56" s="377">
        <v>25</v>
      </c>
      <c r="E56" s="377">
        <v>25.69</v>
      </c>
      <c r="F56" s="377">
        <f t="shared" si="13"/>
        <v>69.000000000000128</v>
      </c>
      <c r="G56" s="377">
        <f t="shared" si="14"/>
        <v>2500</v>
      </c>
      <c r="H56" s="378">
        <f t="shared" si="15"/>
        <v>2.7600000000000052E-2</v>
      </c>
      <c r="I56" s="377"/>
      <c r="O56" s="82">
        <v>0.95</v>
      </c>
      <c r="P56" s="82">
        <f t="shared" si="12"/>
        <v>19.151999999999997</v>
      </c>
      <c r="T56" s="92" t="s">
        <v>110</v>
      </c>
      <c r="U56" s="128">
        <v>34.119999999999997</v>
      </c>
      <c r="W56" s="131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5">
        <f t="shared" si="2"/>
        <v>-1.1210023079459286E-2</v>
      </c>
    </row>
    <row r="57" spans="2:31" x14ac:dyDescent="0.25">
      <c r="B57" s="375">
        <v>42563</v>
      </c>
      <c r="C57" s="376">
        <v>100</v>
      </c>
      <c r="D57" s="377">
        <v>25</v>
      </c>
      <c r="E57" s="377">
        <v>26.48</v>
      </c>
      <c r="F57" s="377">
        <f t="shared" si="13"/>
        <v>148.00000000000006</v>
      </c>
      <c r="G57" s="377">
        <f t="shared" si="14"/>
        <v>2500</v>
      </c>
      <c r="H57" s="378">
        <f t="shared" si="15"/>
        <v>5.9200000000000016E-2</v>
      </c>
      <c r="I57" s="377"/>
      <c r="O57" s="82">
        <v>0.94</v>
      </c>
      <c r="P57" s="82">
        <f t="shared" si="12"/>
        <v>18.950399999999998</v>
      </c>
      <c r="T57" s="92" t="s">
        <v>111</v>
      </c>
      <c r="U57" s="128">
        <v>0.85</v>
      </c>
      <c r="W57" s="131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5">
        <f t="shared" si="2"/>
        <v>-5.5737704918032982E-3</v>
      </c>
    </row>
    <row r="58" spans="2:31" x14ac:dyDescent="0.25">
      <c r="B58" s="375">
        <v>42569</v>
      </c>
      <c r="C58" s="376">
        <v>100</v>
      </c>
      <c r="D58" s="377">
        <v>25</v>
      </c>
      <c r="E58" s="377">
        <v>29.28</v>
      </c>
      <c r="F58" s="377">
        <f t="shared" ref="F58:F64" si="16">C58*(E58-D58)</f>
        <v>428.00000000000011</v>
      </c>
      <c r="G58" s="377">
        <f t="shared" ref="G58:G64" si="17">D58*C58</f>
        <v>2500</v>
      </c>
      <c r="H58" s="378">
        <f t="shared" ref="H58:H64" si="18">(E58-D58)/D58</f>
        <v>0.17120000000000005</v>
      </c>
      <c r="I58" s="377"/>
      <c r="O58" s="82">
        <v>0.93</v>
      </c>
      <c r="P58" s="82">
        <f t="shared" si="12"/>
        <v>18.748800000000003</v>
      </c>
      <c r="T58" s="92" t="s">
        <v>108</v>
      </c>
      <c r="U58" s="128" t="s">
        <v>582</v>
      </c>
      <c r="W58" s="131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5">
        <f t="shared" si="2"/>
        <v>-1.5493867010974882E-2</v>
      </c>
    </row>
    <row r="59" spans="2:31" x14ac:dyDescent="0.25">
      <c r="B59" s="375">
        <v>42570</v>
      </c>
      <c r="C59" s="376">
        <v>100</v>
      </c>
      <c r="D59" s="377">
        <v>25</v>
      </c>
      <c r="E59" s="377">
        <v>28.68</v>
      </c>
      <c r="F59" s="377">
        <f t="shared" si="16"/>
        <v>368</v>
      </c>
      <c r="G59" s="377">
        <f t="shared" si="17"/>
        <v>2500</v>
      </c>
      <c r="H59" s="378">
        <f t="shared" si="18"/>
        <v>0.1472</v>
      </c>
      <c r="I59" s="377"/>
      <c r="O59" s="82">
        <v>0.92</v>
      </c>
      <c r="P59" s="82">
        <f t="shared" si="12"/>
        <v>18.5472</v>
      </c>
      <c r="W59" s="131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5">
        <f t="shared" si="2"/>
        <v>-5.138086062941527E-3</v>
      </c>
    </row>
    <row r="60" spans="2:31" x14ac:dyDescent="0.25">
      <c r="B60" s="375">
        <v>42571</v>
      </c>
      <c r="C60" s="376">
        <v>100</v>
      </c>
      <c r="D60" s="377">
        <v>25</v>
      </c>
      <c r="E60" s="377">
        <v>29.01</v>
      </c>
      <c r="F60" s="377">
        <f t="shared" si="16"/>
        <v>401.00000000000017</v>
      </c>
      <c r="G60" s="377">
        <f t="shared" si="17"/>
        <v>2500</v>
      </c>
      <c r="H60" s="378">
        <f t="shared" si="18"/>
        <v>0.16040000000000007</v>
      </c>
      <c r="I60" s="377"/>
      <c r="O60" s="82">
        <v>0.91</v>
      </c>
      <c r="P60" s="82">
        <f t="shared" si="12"/>
        <v>18.345600000000001</v>
      </c>
      <c r="W60" s="131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5">
        <f t="shared" si="2"/>
        <v>-6.4184852374837842E-4</v>
      </c>
    </row>
    <row r="61" spans="2:31" x14ac:dyDescent="0.25">
      <c r="B61" s="375">
        <v>42572</v>
      </c>
      <c r="C61" s="376">
        <v>100</v>
      </c>
      <c r="D61" s="377">
        <v>25</v>
      </c>
      <c r="E61" s="377">
        <v>28.89</v>
      </c>
      <c r="F61" s="377">
        <f t="shared" si="16"/>
        <v>389.00000000000006</v>
      </c>
      <c r="G61" s="377">
        <f t="shared" si="17"/>
        <v>2500</v>
      </c>
      <c r="H61" s="378">
        <f t="shared" si="18"/>
        <v>0.15560000000000002</v>
      </c>
      <c r="I61" s="377"/>
      <c r="O61" s="82">
        <v>0.9</v>
      </c>
      <c r="P61" s="82">
        <f t="shared" si="12"/>
        <v>18.144000000000002</v>
      </c>
      <c r="W61" s="131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5">
        <f t="shared" si="2"/>
        <v>2.331691297208538E-2</v>
      </c>
    </row>
    <row r="62" spans="2:31" x14ac:dyDescent="0.25">
      <c r="B62" s="375">
        <v>42576</v>
      </c>
      <c r="C62" s="376">
        <v>100</v>
      </c>
      <c r="D62" s="377">
        <v>25</v>
      </c>
      <c r="E62" s="377">
        <v>28.63</v>
      </c>
      <c r="F62" s="377">
        <f t="shared" si="16"/>
        <v>362.99999999999989</v>
      </c>
      <c r="G62" s="377">
        <f t="shared" si="17"/>
        <v>2500</v>
      </c>
      <c r="H62" s="378">
        <f t="shared" si="18"/>
        <v>0.14519999999999997</v>
      </c>
      <c r="I62" s="377"/>
      <c r="W62" s="131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5">
        <f t="shared" si="2"/>
        <v>3.2851511169518233E-4</v>
      </c>
    </row>
    <row r="63" spans="2:31" x14ac:dyDescent="0.25">
      <c r="B63" s="375">
        <v>42577</v>
      </c>
      <c r="C63" s="376">
        <v>100</v>
      </c>
      <c r="D63" s="377">
        <v>25</v>
      </c>
      <c r="E63" s="377">
        <v>29.34</v>
      </c>
      <c r="F63" s="377">
        <f t="shared" si="16"/>
        <v>434</v>
      </c>
      <c r="G63" s="377">
        <f t="shared" si="17"/>
        <v>2500</v>
      </c>
      <c r="H63" s="378">
        <f t="shared" si="18"/>
        <v>0.1736</v>
      </c>
      <c r="I63" s="377"/>
      <c r="W63" s="131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5">
        <f t="shared" si="2"/>
        <v>-2.9479200786112214E-3</v>
      </c>
    </row>
    <row r="64" spans="2:31" x14ac:dyDescent="0.25">
      <c r="B64" s="375">
        <v>42580</v>
      </c>
      <c r="C64" s="376">
        <v>100</v>
      </c>
      <c r="D64" s="377">
        <v>25</v>
      </c>
      <c r="E64" s="377">
        <v>27</v>
      </c>
      <c r="F64" s="377">
        <f t="shared" si="16"/>
        <v>200</v>
      </c>
      <c r="G64" s="377">
        <f t="shared" si="17"/>
        <v>2500</v>
      </c>
      <c r="H64" s="378">
        <f t="shared" si="18"/>
        <v>0.08</v>
      </c>
      <c r="I64" s="377"/>
      <c r="W64" s="131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5">
        <f t="shared" si="2"/>
        <v>-2.2875816993463971E-3</v>
      </c>
    </row>
    <row r="65" spans="2:31" x14ac:dyDescent="0.25">
      <c r="B65" s="375">
        <v>42584</v>
      </c>
      <c r="C65" s="376">
        <v>0</v>
      </c>
      <c r="D65" s="377"/>
      <c r="E65" s="377"/>
      <c r="F65" s="377">
        <v>287.94</v>
      </c>
      <c r="G65" s="377"/>
      <c r="H65" s="378"/>
      <c r="I65" s="377"/>
      <c r="W65" s="131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5">
        <f t="shared" si="2"/>
        <v>1.9646365422396617E-3</v>
      </c>
    </row>
    <row r="66" spans="2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5">
        <f t="shared" si="2"/>
        <v>4.3389135633754794E-2</v>
      </c>
    </row>
    <row r="67" spans="2:31" x14ac:dyDescent="0.25">
      <c r="B67" s="188" t="s">
        <v>113</v>
      </c>
      <c r="C67" s="188" t="s">
        <v>146</v>
      </c>
      <c r="D67" s="189" t="s">
        <v>145</v>
      </c>
      <c r="E67" s="191" t="s">
        <v>147</v>
      </c>
      <c r="F67" s="191" t="s">
        <v>65</v>
      </c>
      <c r="G67" s="226" t="s">
        <v>151</v>
      </c>
      <c r="H67" s="226" t="s">
        <v>88</v>
      </c>
      <c r="I67" s="226" t="s">
        <v>154</v>
      </c>
      <c r="W67" s="131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5" t="e">
        <f>AC67/#REF!-1</f>
        <v>#REF!</v>
      </c>
    </row>
    <row r="68" spans="2:31" x14ac:dyDescent="0.25">
      <c r="B68" s="263">
        <v>42627</v>
      </c>
      <c r="C68" s="258">
        <v>50</v>
      </c>
      <c r="D68" s="259">
        <v>25.74</v>
      </c>
      <c r="E68" s="259">
        <v>25.83</v>
      </c>
      <c r="F68" s="259">
        <f>C68*(E68-D68)</f>
        <v>4.4999999999999929</v>
      </c>
      <c r="G68" s="259">
        <f>D68*C68</f>
        <v>1287</v>
      </c>
      <c r="H68" s="273">
        <f>(E68-D68)/D68</f>
        <v>3.4965034965034913E-3</v>
      </c>
      <c r="I68" s="259"/>
      <c r="W68" s="131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42629</v>
      </c>
      <c r="C69" s="258">
        <v>50</v>
      </c>
      <c r="D69" s="259">
        <v>25.74</v>
      </c>
      <c r="E69" s="259">
        <v>25.54</v>
      </c>
      <c r="F69" s="259">
        <f t="shared" ref="F69:F74" si="19">C69*(E69-D69)</f>
        <v>-9.9999999999999645</v>
      </c>
      <c r="G69" s="259">
        <f t="shared" ref="G69:G74" si="20">D69*C69</f>
        <v>1287</v>
      </c>
      <c r="H69" s="273">
        <f t="shared" ref="H69:H74" si="21">(E69-D69)/D69</f>
        <v>-7.7700077700077431E-3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42636</v>
      </c>
      <c r="C70" s="258">
        <v>50</v>
      </c>
      <c r="D70" s="259">
        <v>25.74</v>
      </c>
      <c r="E70" s="259">
        <v>24.82</v>
      </c>
      <c r="F70" s="259">
        <f t="shared" si="19"/>
        <v>-45.999999999999908</v>
      </c>
      <c r="G70" s="259">
        <f t="shared" si="20"/>
        <v>1287</v>
      </c>
      <c r="H70" s="273">
        <f t="shared" si="21"/>
        <v>-3.5742035742035674E-2</v>
      </c>
      <c r="I70" s="259"/>
    </row>
    <row r="71" spans="2:31" x14ac:dyDescent="0.25">
      <c r="B71" s="263">
        <v>42639</v>
      </c>
      <c r="C71" s="258">
        <v>100</v>
      </c>
      <c r="D71" s="259">
        <v>24.96</v>
      </c>
      <c r="E71" s="259">
        <v>24.14</v>
      </c>
      <c r="F71" s="259">
        <f t="shared" si="19"/>
        <v>-82.000000000000028</v>
      </c>
      <c r="G71" s="259">
        <f t="shared" si="20"/>
        <v>2496</v>
      </c>
      <c r="H71" s="273">
        <f t="shared" si="21"/>
        <v>-3.2852564102564111E-2</v>
      </c>
      <c r="I71" s="259"/>
    </row>
    <row r="72" spans="2:31" x14ac:dyDescent="0.25">
      <c r="B72" s="263">
        <v>42639</v>
      </c>
      <c r="C72" s="258">
        <v>150</v>
      </c>
      <c r="D72" s="259">
        <v>24.8</v>
      </c>
      <c r="E72" s="259">
        <v>24.14</v>
      </c>
      <c r="F72" s="259">
        <f t="shared" si="19"/>
        <v>-99.000000000000028</v>
      </c>
      <c r="G72" s="259">
        <f t="shared" si="20"/>
        <v>3720</v>
      </c>
      <c r="H72" s="273">
        <f t="shared" si="21"/>
        <v>-2.6612903225806457E-2</v>
      </c>
      <c r="I72" s="259"/>
    </row>
    <row r="73" spans="2:31" x14ac:dyDescent="0.25">
      <c r="B73" s="263">
        <v>42640</v>
      </c>
      <c r="C73" s="258">
        <v>150</v>
      </c>
      <c r="D73" s="259">
        <v>24.8</v>
      </c>
      <c r="E73" s="259">
        <v>23.99</v>
      </c>
      <c r="F73" s="259">
        <f t="shared" si="19"/>
        <v>-121.50000000000034</v>
      </c>
      <c r="G73" s="259">
        <f t="shared" si="20"/>
        <v>3720</v>
      </c>
      <c r="H73" s="273">
        <f t="shared" si="21"/>
        <v>-3.2661290322580736E-2</v>
      </c>
      <c r="I73" s="259"/>
    </row>
    <row r="74" spans="2:31" x14ac:dyDescent="0.25">
      <c r="B74" s="263">
        <v>42643</v>
      </c>
      <c r="C74" s="258">
        <v>150</v>
      </c>
      <c r="D74" s="259">
        <v>24.8</v>
      </c>
      <c r="E74" s="259">
        <v>24.46</v>
      </c>
      <c r="F74" s="259">
        <f t="shared" si="19"/>
        <v>-50.999999999999979</v>
      </c>
      <c r="G74" s="259">
        <f t="shared" si="20"/>
        <v>3720</v>
      </c>
      <c r="H74" s="273">
        <f t="shared" si="21"/>
        <v>-1.3709677419354832E-2</v>
      </c>
      <c r="I74" s="259"/>
    </row>
    <row r="75" spans="2:31" x14ac:dyDescent="0.25">
      <c r="B75" s="263">
        <v>42646</v>
      </c>
      <c r="C75" s="258">
        <v>150</v>
      </c>
      <c r="D75" s="259">
        <v>24.8</v>
      </c>
      <c r="E75" s="259">
        <v>24.89</v>
      </c>
      <c r="F75" s="259">
        <f t="shared" ref="F75:F86" si="22">C75*(E75-D75)</f>
        <v>13.499999999999979</v>
      </c>
      <c r="G75" s="259">
        <f t="shared" ref="G75:G86" si="23">D75*C75</f>
        <v>3720</v>
      </c>
      <c r="H75" s="273">
        <f t="shared" ref="H75:H86" si="24">(E75-D75)/D75</f>
        <v>3.6290322580645102E-3</v>
      </c>
      <c r="I75" s="259"/>
    </row>
    <row r="76" spans="2:31" x14ac:dyDescent="0.25">
      <c r="B76" s="263">
        <v>42648</v>
      </c>
      <c r="C76" s="258">
        <v>150</v>
      </c>
      <c r="D76" s="259">
        <v>24.8</v>
      </c>
      <c r="E76" s="259">
        <v>25.07</v>
      </c>
      <c r="F76" s="259">
        <f t="shared" si="22"/>
        <v>40.499999999999936</v>
      </c>
      <c r="G76" s="259">
        <f t="shared" si="23"/>
        <v>3720</v>
      </c>
      <c r="H76" s="273">
        <f t="shared" si="24"/>
        <v>1.0887096774193531E-2</v>
      </c>
      <c r="I76" s="259"/>
    </row>
    <row r="77" spans="2:31" x14ac:dyDescent="0.25">
      <c r="B77" s="263">
        <v>42649</v>
      </c>
      <c r="C77" s="258">
        <v>150</v>
      </c>
      <c r="D77" s="259">
        <v>24.8</v>
      </c>
      <c r="E77" s="259">
        <v>24.85</v>
      </c>
      <c r="F77" s="259">
        <f t="shared" si="22"/>
        <v>7.5000000000001066</v>
      </c>
      <c r="G77" s="259">
        <f t="shared" si="23"/>
        <v>3720</v>
      </c>
      <c r="H77" s="273">
        <f t="shared" si="24"/>
        <v>2.0161290322580931E-3</v>
      </c>
      <c r="I77" s="259"/>
    </row>
    <row r="78" spans="2:31" x14ac:dyDescent="0.25">
      <c r="B78" s="263">
        <v>42650</v>
      </c>
      <c r="C78" s="258">
        <v>150</v>
      </c>
      <c r="D78" s="259">
        <v>24.8</v>
      </c>
      <c r="E78" s="259">
        <v>24.58</v>
      </c>
      <c r="F78" s="259">
        <f t="shared" si="22"/>
        <v>-33.000000000000362</v>
      </c>
      <c r="G78" s="259">
        <f t="shared" si="23"/>
        <v>3720</v>
      </c>
      <c r="H78" s="273">
        <f t="shared" si="24"/>
        <v>-8.8709677419355811E-3</v>
      </c>
      <c r="I78" s="259"/>
    </row>
    <row r="79" spans="2:31" x14ac:dyDescent="0.25">
      <c r="B79" s="263">
        <v>42661</v>
      </c>
      <c r="C79" s="258">
        <v>150</v>
      </c>
      <c r="D79" s="259">
        <v>24.8</v>
      </c>
      <c r="E79" s="259">
        <v>23.39</v>
      </c>
      <c r="F79" s="259">
        <f t="shared" si="22"/>
        <v>-211.50000000000003</v>
      </c>
      <c r="G79" s="259">
        <f t="shared" si="23"/>
        <v>3720</v>
      </c>
      <c r="H79" s="273">
        <f t="shared" si="24"/>
        <v>-5.6854838709677426E-2</v>
      </c>
      <c r="I79" s="259"/>
    </row>
    <row r="80" spans="2:31" x14ac:dyDescent="0.25">
      <c r="B80" s="263">
        <v>42662</v>
      </c>
      <c r="C80" s="258">
        <v>150</v>
      </c>
      <c r="D80" s="259">
        <v>24.8</v>
      </c>
      <c r="E80" s="259">
        <v>23.84</v>
      </c>
      <c r="F80" s="259">
        <f t="shared" si="22"/>
        <v>-144.00000000000011</v>
      </c>
      <c r="G80" s="259">
        <f t="shared" si="23"/>
        <v>3720</v>
      </c>
      <c r="H80" s="273">
        <f t="shared" si="24"/>
        <v>-3.8709677419354875E-2</v>
      </c>
      <c r="I80" s="259"/>
    </row>
    <row r="81" spans="1:13" x14ac:dyDescent="0.25">
      <c r="B81" s="263">
        <v>42664</v>
      </c>
      <c r="C81" s="258">
        <v>150</v>
      </c>
      <c r="D81" s="259">
        <v>24.8</v>
      </c>
      <c r="E81" s="259">
        <v>24.31</v>
      </c>
      <c r="F81" s="259">
        <f t="shared" si="22"/>
        <v>-73.500000000000298</v>
      </c>
      <c r="G81" s="259">
        <f t="shared" si="23"/>
        <v>3720</v>
      </c>
      <c r="H81" s="273">
        <f t="shared" si="24"/>
        <v>-1.975806451612911E-2</v>
      </c>
      <c r="I81" s="259"/>
    </row>
    <row r="82" spans="1:13" x14ac:dyDescent="0.25">
      <c r="B82" s="263">
        <v>42670</v>
      </c>
      <c r="C82" s="258">
        <v>150</v>
      </c>
      <c r="D82" s="259">
        <v>24.626899999999999</v>
      </c>
      <c r="E82" s="259">
        <v>23.93</v>
      </c>
      <c r="F82" s="259">
        <f t="shared" si="22"/>
        <v>-104.53499999999991</v>
      </c>
      <c r="G82" s="259">
        <f t="shared" si="23"/>
        <v>3694.0349999999999</v>
      </c>
      <c r="H82" s="273">
        <f t="shared" si="24"/>
        <v>-2.8298324190214743E-2</v>
      </c>
      <c r="I82" s="259"/>
    </row>
    <row r="83" spans="1:13" x14ac:dyDescent="0.25">
      <c r="B83" s="263">
        <v>42674</v>
      </c>
      <c r="C83" s="258">
        <v>150</v>
      </c>
      <c r="D83" s="259">
        <v>24.626899999999999</v>
      </c>
      <c r="E83" s="259">
        <v>23.53</v>
      </c>
      <c r="F83" s="259">
        <f t="shared" si="22"/>
        <v>-164.53499999999968</v>
      </c>
      <c r="G83" s="259">
        <f t="shared" si="23"/>
        <v>3694.0349999999999</v>
      </c>
      <c r="H83" s="273">
        <f t="shared" si="24"/>
        <v>-4.4540725791715481E-2</v>
      </c>
      <c r="I83" s="259"/>
    </row>
    <row r="84" spans="1:13" x14ac:dyDescent="0.25">
      <c r="B84" s="263">
        <v>42675</v>
      </c>
      <c r="C84" s="258">
        <v>150</v>
      </c>
      <c r="D84" s="259">
        <v>24.264700000000001</v>
      </c>
      <c r="E84" s="259">
        <v>24.32</v>
      </c>
      <c r="F84" s="259">
        <f t="shared" si="22"/>
        <v>8.2949999999998525</v>
      </c>
      <c r="G84" s="259">
        <f t="shared" si="23"/>
        <v>3639.7050000000004</v>
      </c>
      <c r="H84" s="273">
        <f t="shared" si="24"/>
        <v>2.2790308555225912E-3</v>
      </c>
      <c r="I84" s="259"/>
    </row>
    <row r="85" spans="1:13" x14ac:dyDescent="0.25">
      <c r="B85" s="263">
        <v>42676</v>
      </c>
      <c r="C85" s="258">
        <v>150</v>
      </c>
      <c r="D85" s="259">
        <v>24.264700000000001</v>
      </c>
      <c r="E85" s="259">
        <v>24.73</v>
      </c>
      <c r="F85" s="259">
        <f t="shared" si="22"/>
        <v>69.794999999999874</v>
      </c>
      <c r="G85" s="259">
        <f t="shared" si="23"/>
        <v>3639.7050000000004</v>
      </c>
      <c r="H85" s="273">
        <f t="shared" si="24"/>
        <v>1.9176004648728363E-2</v>
      </c>
      <c r="I85" s="259"/>
    </row>
    <row r="86" spans="1:13" x14ac:dyDescent="0.25">
      <c r="B86" s="263">
        <v>42704</v>
      </c>
      <c r="C86" s="258">
        <v>100</v>
      </c>
      <c r="D86" s="259">
        <v>22.507400000000001</v>
      </c>
      <c r="E86" s="259">
        <v>28.4</v>
      </c>
      <c r="F86" s="259">
        <f t="shared" si="22"/>
        <v>589.25999999999976</v>
      </c>
      <c r="G86" s="259">
        <f t="shared" si="23"/>
        <v>2250.7400000000002</v>
      </c>
      <c r="H86" s="273">
        <f t="shared" si="24"/>
        <v>0.26180722784506422</v>
      </c>
      <c r="I86" s="259"/>
    </row>
    <row r="87" spans="1:13" x14ac:dyDescent="0.25">
      <c r="B87" s="263">
        <v>42711</v>
      </c>
      <c r="C87" s="258">
        <v>0</v>
      </c>
      <c r="D87" s="259"/>
      <c r="E87" s="259"/>
      <c r="F87" s="259">
        <v>727.2</v>
      </c>
      <c r="G87" s="259"/>
      <c r="H87" s="273"/>
      <c r="I87" s="259"/>
    </row>
    <row r="88" spans="1:13" x14ac:dyDescent="0.25">
      <c r="B88" s="190"/>
      <c r="C88" s="10"/>
      <c r="D88" s="40"/>
      <c r="E88" s="40"/>
      <c r="F88" s="40"/>
      <c r="G88" s="40"/>
      <c r="H88" s="228"/>
      <c r="I88" s="40"/>
    </row>
    <row r="89" spans="1:13" x14ac:dyDescent="0.25">
      <c r="B89" s="190"/>
      <c r="C89" s="10"/>
      <c r="D89" s="40"/>
      <c r="E89" s="40"/>
      <c r="F89" s="40"/>
      <c r="G89" s="40"/>
      <c r="H89" s="228"/>
      <c r="I89" s="40"/>
    </row>
    <row r="90" spans="1:13" x14ac:dyDescent="0.25">
      <c r="B90" s="190"/>
      <c r="C90" s="10"/>
      <c r="D90" s="40"/>
      <c r="E90" s="40"/>
      <c r="F90" s="40"/>
      <c r="G90" s="40"/>
      <c r="H90" s="228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0" t="s">
        <v>1</v>
      </c>
      <c r="B95" s="470" t="s">
        <v>2</v>
      </c>
      <c r="C95" s="470" t="s">
        <v>4</v>
      </c>
      <c r="D95" s="471" t="s">
        <v>5</v>
      </c>
      <c r="E95" s="471" t="s">
        <v>94</v>
      </c>
      <c r="F95" s="471" t="s">
        <v>60</v>
      </c>
      <c r="G95" s="470" t="s">
        <v>3</v>
      </c>
      <c r="H95" s="470" t="s">
        <v>6</v>
      </c>
      <c r="I95" s="471" t="s">
        <v>7</v>
      </c>
      <c r="J95" s="471" t="s">
        <v>95</v>
      </c>
      <c r="K95" s="471" t="s">
        <v>61</v>
      </c>
      <c r="L95" s="470" t="s">
        <v>37</v>
      </c>
      <c r="M95" s="470" t="s">
        <v>38</v>
      </c>
    </row>
    <row r="96" spans="1:13" x14ac:dyDescent="0.25">
      <c r="A96" s="472" t="s">
        <v>228</v>
      </c>
      <c r="B96" s="473">
        <v>42548</v>
      </c>
      <c r="C96" s="474">
        <v>100</v>
      </c>
      <c r="D96" s="475">
        <v>25</v>
      </c>
      <c r="E96" s="475">
        <v>0</v>
      </c>
      <c r="F96" s="475">
        <f>D96*C96+E96</f>
        <v>2500</v>
      </c>
      <c r="G96" s="473">
        <v>42584</v>
      </c>
      <c r="H96" s="476">
        <v>100</v>
      </c>
      <c r="I96" s="475">
        <v>27.88</v>
      </c>
      <c r="J96" s="475">
        <v>0.06</v>
      </c>
      <c r="K96" s="475">
        <f>H96*I96-J96</f>
        <v>2787.94</v>
      </c>
      <c r="L96" s="473">
        <v>42719</v>
      </c>
      <c r="M96" s="474">
        <v>41.25</v>
      </c>
    </row>
    <row r="97" spans="1:13" x14ac:dyDescent="0.25">
      <c r="A97" s="477" t="s">
        <v>71</v>
      </c>
      <c r="B97" s="473">
        <v>42627</v>
      </c>
      <c r="C97" s="474">
        <v>50</v>
      </c>
      <c r="D97" s="475">
        <v>25.74</v>
      </c>
      <c r="E97" s="475">
        <v>0</v>
      </c>
      <c r="F97" s="475">
        <v>1287</v>
      </c>
      <c r="G97" s="473" t="s">
        <v>352</v>
      </c>
      <c r="H97" s="476">
        <v>50</v>
      </c>
      <c r="I97" s="475">
        <v>25</v>
      </c>
      <c r="J97" s="475">
        <v>0.03</v>
      </c>
      <c r="K97" s="475">
        <v>1249.97</v>
      </c>
      <c r="L97" s="474"/>
      <c r="M97" s="474"/>
    </row>
    <row r="98" spans="1:13" x14ac:dyDescent="0.25">
      <c r="A98" s="474"/>
      <c r="B98" s="473">
        <v>42639</v>
      </c>
      <c r="C98" s="474">
        <v>50</v>
      </c>
      <c r="D98" s="475">
        <v>24.48</v>
      </c>
      <c r="E98" s="475">
        <v>0</v>
      </c>
      <c r="F98" s="475">
        <v>1224</v>
      </c>
      <c r="G98" s="473" t="s">
        <v>352</v>
      </c>
      <c r="H98" s="476">
        <v>100</v>
      </c>
      <c r="I98" s="475">
        <v>24.88</v>
      </c>
      <c r="J98" s="475">
        <v>0.05</v>
      </c>
      <c r="K98" s="475">
        <v>2487.9499999999998</v>
      </c>
      <c r="L98" s="474"/>
      <c r="M98" s="474"/>
    </row>
    <row r="99" spans="1:13" x14ac:dyDescent="0.25">
      <c r="A99" s="474"/>
      <c r="B99" s="473">
        <v>42639</v>
      </c>
      <c r="C99" s="474">
        <v>50</v>
      </c>
      <c r="D99" s="475">
        <v>24.18</v>
      </c>
      <c r="E99" s="475">
        <v>0</v>
      </c>
      <c r="F99" s="475">
        <v>1209</v>
      </c>
      <c r="G99" s="473" t="s">
        <v>352</v>
      </c>
      <c r="H99" s="476">
        <v>50</v>
      </c>
      <c r="I99" s="475">
        <v>27.78</v>
      </c>
      <c r="J99" s="475">
        <v>0.03</v>
      </c>
      <c r="K99" s="475">
        <v>1388.97</v>
      </c>
      <c r="L99" s="474"/>
      <c r="M99" s="474"/>
    </row>
    <row r="100" spans="1:13" x14ac:dyDescent="0.25">
      <c r="A100" s="474"/>
      <c r="B100" s="473">
        <v>42670</v>
      </c>
      <c r="C100" s="474">
        <v>50</v>
      </c>
      <c r="D100" s="475">
        <v>24.48</v>
      </c>
      <c r="E100" s="475">
        <v>0</v>
      </c>
      <c r="F100" s="475">
        <v>1224</v>
      </c>
      <c r="G100" s="473" t="s">
        <v>352</v>
      </c>
      <c r="H100" s="476">
        <v>100</v>
      </c>
      <c r="I100" s="475">
        <v>29.78</v>
      </c>
      <c r="J100" s="475">
        <v>0.06</v>
      </c>
      <c r="K100" s="475">
        <v>2977.94</v>
      </c>
      <c r="L100" s="474"/>
      <c r="M100" s="474"/>
    </row>
    <row r="101" spans="1:13" x14ac:dyDescent="0.25">
      <c r="A101" s="474"/>
      <c r="B101" s="473" t="s">
        <v>352</v>
      </c>
      <c r="C101" s="474">
        <v>100</v>
      </c>
      <c r="D101" s="475">
        <v>24.34</v>
      </c>
      <c r="E101" s="475">
        <v>-0.37</v>
      </c>
      <c r="F101" s="475">
        <v>2433.63</v>
      </c>
      <c r="G101" s="474"/>
      <c r="H101" s="476"/>
      <c r="I101" s="475"/>
      <c r="J101" s="475"/>
      <c r="K101" s="475"/>
      <c r="L101" s="474"/>
      <c r="M101" s="474"/>
    </row>
    <row r="102" spans="1:13" x14ac:dyDescent="0.25">
      <c r="A102" s="474"/>
      <c r="B102" s="520">
        <v>42723</v>
      </c>
      <c r="C102" s="521">
        <v>100</v>
      </c>
      <c r="D102" s="523">
        <v>27.98</v>
      </c>
      <c r="E102" s="523">
        <v>0</v>
      </c>
      <c r="F102" s="523">
        <f>D102*C102+E102</f>
        <v>2798</v>
      </c>
      <c r="G102" s="520">
        <v>42724</v>
      </c>
      <c r="H102" s="521">
        <v>100</v>
      </c>
      <c r="I102" s="523">
        <v>27.94</v>
      </c>
      <c r="J102" s="523">
        <v>0.06</v>
      </c>
      <c r="K102" s="523">
        <f>I102*H102-J102</f>
        <v>2793.94</v>
      </c>
      <c r="L102" s="474"/>
      <c r="M102" s="474"/>
    </row>
    <row r="103" spans="1:13" x14ac:dyDescent="0.25">
      <c r="A103" s="474"/>
      <c r="B103" s="452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2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4"/>
      <c r="M103" s="474"/>
    </row>
    <row r="104" spans="1:13" x14ac:dyDescent="0.25">
      <c r="A104" s="474"/>
      <c r="B104" s="474"/>
      <c r="C104" s="474"/>
      <c r="D104" s="475"/>
      <c r="E104" s="475"/>
      <c r="F104" s="475"/>
      <c r="G104" s="474"/>
      <c r="H104" s="476"/>
      <c r="I104" s="475"/>
      <c r="J104" s="475"/>
      <c r="K104" s="475"/>
      <c r="L104" s="474"/>
      <c r="M104" s="474"/>
    </row>
    <row r="105" spans="1:13" x14ac:dyDescent="0.25">
      <c r="A105" s="474"/>
      <c r="B105" s="474"/>
      <c r="C105" s="474"/>
      <c r="D105" s="475"/>
      <c r="E105" s="475"/>
      <c r="F105" s="475"/>
      <c r="G105" s="474"/>
      <c r="H105" s="476"/>
      <c r="I105" s="475"/>
      <c r="J105" s="475"/>
      <c r="K105" s="475"/>
      <c r="L105" s="474"/>
      <c r="M105" s="474"/>
    </row>
    <row r="106" spans="1:13" x14ac:dyDescent="0.25">
      <c r="A106" s="474"/>
      <c r="B106" s="474"/>
      <c r="C106" s="474"/>
      <c r="D106" s="475"/>
      <c r="E106" s="475"/>
      <c r="F106" s="475"/>
      <c r="G106" s="474"/>
      <c r="H106" s="476"/>
      <c r="I106" s="475"/>
      <c r="J106" s="475"/>
      <c r="K106" s="475"/>
      <c r="L106" s="474"/>
      <c r="M106" s="474"/>
    </row>
    <row r="107" spans="1:13" x14ac:dyDescent="0.25">
      <c r="A107" s="474"/>
      <c r="B107" s="474"/>
      <c r="C107" s="474"/>
      <c r="D107" s="475"/>
      <c r="E107" s="475"/>
      <c r="F107" s="475"/>
      <c r="G107" s="474"/>
      <c r="H107" s="476"/>
      <c r="I107" s="475"/>
      <c r="J107" s="475"/>
      <c r="K107" s="475"/>
      <c r="L107" s="474"/>
      <c r="M107" s="474"/>
    </row>
    <row r="108" spans="1:13" x14ac:dyDescent="0.25">
      <c r="A108" s="474"/>
      <c r="B108" s="474"/>
      <c r="C108" s="474"/>
      <c r="D108" s="475"/>
      <c r="E108" s="475"/>
      <c r="F108" s="475"/>
      <c r="G108" s="474"/>
      <c r="H108" s="476"/>
      <c r="I108" s="475"/>
      <c r="J108" s="475"/>
      <c r="K108" s="475"/>
      <c r="L108" s="474"/>
      <c r="M108" s="474"/>
    </row>
    <row r="109" spans="1:13" x14ac:dyDescent="0.25">
      <c r="A109" s="474"/>
      <c r="B109" s="474"/>
      <c r="C109" s="474"/>
      <c r="D109" s="475"/>
      <c r="E109" s="475"/>
      <c r="F109" s="475"/>
      <c r="G109" s="474"/>
      <c r="H109" s="476"/>
      <c r="I109" s="475"/>
      <c r="J109" s="475"/>
      <c r="K109" s="475"/>
      <c r="L109" s="474"/>
      <c r="M109" s="474"/>
    </row>
    <row r="110" spans="1:13" x14ac:dyDescent="0.25">
      <c r="A110" s="474"/>
      <c r="B110" s="474"/>
      <c r="C110" s="474"/>
      <c r="D110" s="475"/>
      <c r="E110" s="475"/>
      <c r="F110" s="475"/>
      <c r="G110" s="474"/>
      <c r="H110" s="476"/>
      <c r="I110" s="475"/>
      <c r="J110" s="475"/>
      <c r="K110" s="475"/>
      <c r="L110" s="474"/>
      <c r="M110" s="474"/>
    </row>
    <row r="111" spans="1:13" x14ac:dyDescent="0.25">
      <c r="A111" s="474"/>
      <c r="B111" s="474"/>
      <c r="C111" s="474"/>
      <c r="D111" s="475"/>
      <c r="E111" s="475"/>
      <c r="F111" s="475"/>
      <c r="G111" s="474"/>
      <c r="H111" s="474"/>
      <c r="I111" s="475"/>
      <c r="J111" s="475"/>
      <c r="K111" s="475"/>
      <c r="L111" s="474"/>
      <c r="M111" s="474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1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8" t="s">
        <v>195</v>
      </c>
      <c r="B113" s="479"/>
      <c r="C113" s="480">
        <f>SumByColor($A$19,C96:C111)</f>
        <v>100</v>
      </c>
      <c r="D113" s="480"/>
      <c r="E113" s="480"/>
      <c r="F113" s="481">
        <f>SumByColor($A$19,F96:F111)</f>
        <v>2758</v>
      </c>
      <c r="G113" s="480"/>
      <c r="H113" s="480">
        <f>SumByColor($A$19,H96:H111)</f>
        <v>100</v>
      </c>
      <c r="I113" s="480"/>
      <c r="J113" s="480"/>
      <c r="K113" s="481">
        <f>SumByColor($A$19,K96:K111)</f>
        <v>3158</v>
      </c>
      <c r="L113" s="480"/>
      <c r="M113" s="481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26" priority="39">
      <formula>F65&gt;0</formula>
    </cfRule>
    <cfRule type="expression" dxfId="725" priority="40">
      <formula>F65&lt;0</formula>
    </cfRule>
  </conditionalFormatting>
  <conditionalFormatting sqref="Q7">
    <cfRule type="expression" dxfId="724" priority="27">
      <formula>Q7&gt;0</formula>
    </cfRule>
    <cfRule type="expression" dxfId="723" priority="28">
      <formula>Q7&lt;0</formula>
    </cfRule>
  </conditionalFormatting>
  <conditionalFormatting sqref="Q8">
    <cfRule type="expression" dxfId="722" priority="25">
      <formula>Q8&gt;0</formula>
    </cfRule>
    <cfRule type="expression" dxfId="721" priority="26">
      <formula>Q8&lt;0</formula>
    </cfRule>
  </conditionalFormatting>
  <conditionalFormatting sqref="F52:F64">
    <cfRule type="expression" dxfId="720" priority="23">
      <formula>F52&gt;0</formula>
    </cfRule>
    <cfRule type="expression" dxfId="719" priority="24">
      <formula>F52&lt;0</formula>
    </cfRule>
  </conditionalFormatting>
  <conditionalFormatting sqref="H52:H64">
    <cfRule type="expression" dxfId="718" priority="21">
      <formula>H52&gt;0</formula>
    </cfRule>
    <cfRule type="expression" dxfId="717" priority="22">
      <formula>H52&lt;0</formula>
    </cfRule>
  </conditionalFormatting>
  <conditionalFormatting sqref="H68:H71">
    <cfRule type="expression" dxfId="716" priority="17">
      <formula>H68&gt;0</formula>
    </cfRule>
    <cfRule type="expression" dxfId="715" priority="18">
      <formula>H68&lt;0</formula>
    </cfRule>
  </conditionalFormatting>
  <conditionalFormatting sqref="F68:F71">
    <cfRule type="expression" dxfId="714" priority="19">
      <formula>F68&gt;0</formula>
    </cfRule>
    <cfRule type="expression" dxfId="713" priority="20">
      <formula>F68&lt;0</formula>
    </cfRule>
  </conditionalFormatting>
  <conditionalFormatting sqref="M94">
    <cfRule type="expression" dxfId="712" priority="15">
      <formula>M94&gt;0</formula>
    </cfRule>
    <cfRule type="expression" dxfId="711" priority="16">
      <formula>M94&lt;0</formula>
    </cfRule>
  </conditionalFormatting>
  <conditionalFormatting sqref="F23:F24 F31:F48">
    <cfRule type="expression" dxfId="710" priority="13">
      <formula>F23&gt;0</formula>
    </cfRule>
    <cfRule type="expression" dxfId="709" priority="14">
      <formula>F23&lt;0</formula>
    </cfRule>
  </conditionalFormatting>
  <conditionalFormatting sqref="H23:H24 H31:H48">
    <cfRule type="expression" dxfId="708" priority="11">
      <formula>H23&gt;0</formula>
    </cfRule>
    <cfRule type="expression" dxfId="707" priority="12">
      <formula>H23&lt;0</formula>
    </cfRule>
  </conditionalFormatting>
  <conditionalFormatting sqref="Q10">
    <cfRule type="expression" dxfId="706" priority="9">
      <formula>Q10&gt;0</formula>
    </cfRule>
    <cfRule type="expression" dxfId="705" priority="10">
      <formula>Q10&lt;0</formula>
    </cfRule>
  </conditionalFormatting>
  <conditionalFormatting sqref="F25:F30">
    <cfRule type="expression" dxfId="704" priority="7">
      <formula>F25&gt;0</formula>
    </cfRule>
    <cfRule type="expression" dxfId="703" priority="8">
      <formula>F25&lt;0</formula>
    </cfRule>
  </conditionalFormatting>
  <conditionalFormatting sqref="H25:H30">
    <cfRule type="expression" dxfId="702" priority="5">
      <formula>H25&gt;0</formula>
    </cfRule>
    <cfRule type="expression" dxfId="701" priority="6">
      <formula>H25&lt;0</formula>
    </cfRule>
  </conditionalFormatting>
  <conditionalFormatting sqref="K28:K35">
    <cfRule type="expression" dxfId="700" priority="3">
      <formula>K28&gt;0</formula>
    </cfRule>
    <cfRule type="expression" dxfId="699" priority="4">
      <formula>K28&lt;0</formula>
    </cfRule>
  </conditionalFormatting>
  <conditionalFormatting sqref="K36:K48">
    <cfRule type="expression" dxfId="698" priority="1">
      <formula>K36&gt;0</formula>
    </cfRule>
    <cfRule type="expression" dxfId="697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1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5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56.25</v>
      </c>
      <c r="T3" s="1"/>
      <c r="W3" s="131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5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2"/>
      <c r="I4" s="3"/>
      <c r="J4" s="3"/>
      <c r="K4" s="3"/>
      <c r="L4" s="4"/>
      <c r="O4" s="11" t="s">
        <v>66</v>
      </c>
      <c r="Q4" s="55">
        <v>56.25</v>
      </c>
      <c r="R4" s="497">
        <v>-1.6000000000000001E-3</v>
      </c>
      <c r="T4" s="160"/>
      <c r="U4" s="1"/>
      <c r="W4" s="131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5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2"/>
      <c r="I5" s="3"/>
      <c r="J5" s="3"/>
      <c r="K5" s="3"/>
      <c r="L5" s="4"/>
      <c r="O5" s="11" t="s">
        <v>67</v>
      </c>
      <c r="Q5" s="3">
        <f>Q4*Q2</f>
        <v>0</v>
      </c>
      <c r="W5" s="131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5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2"/>
      <c r="I6" s="3"/>
      <c r="J6" s="3"/>
      <c r="K6" s="3"/>
      <c r="L6" s="4"/>
      <c r="O6" s="11" t="s">
        <v>64</v>
      </c>
      <c r="Q6" s="2">
        <f>Q3*Q2</f>
        <v>0</v>
      </c>
      <c r="W6" s="131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5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2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1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5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P8" s="34"/>
      <c r="Q8" s="2">
        <f>K18+M18-F18+Q2*Q4</f>
        <v>0</v>
      </c>
      <c r="W8" s="131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5">
        <f t="shared" si="1"/>
        <v>9.6918007365753844E-4</v>
      </c>
    </row>
    <row r="9" spans="1:31" x14ac:dyDescent="0.25">
      <c r="H9" s="71"/>
      <c r="O9" s="11" t="s">
        <v>211</v>
      </c>
      <c r="Q9" s="135">
        <f>IF(Q2=0, 0, Q8/Q6)</f>
        <v>0</v>
      </c>
      <c r="W9" s="131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5">
        <f t="shared" si="1"/>
        <v>4.282655246252709E-3</v>
      </c>
    </row>
    <row r="10" spans="1:31" x14ac:dyDescent="0.25">
      <c r="H10" s="71"/>
      <c r="O10" s="11" t="s">
        <v>210</v>
      </c>
      <c r="P10" s="34"/>
      <c r="Q10" s="2">
        <f>M53</f>
        <v>257.64999999999964</v>
      </c>
      <c r="W10" s="131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5">
        <f t="shared" si="1"/>
        <v>1.7550702028079623E-3</v>
      </c>
    </row>
    <row r="11" spans="1:31" x14ac:dyDescent="0.25">
      <c r="H11" s="71"/>
      <c r="O11" s="11" t="s">
        <v>176</v>
      </c>
      <c r="P11" s="34"/>
      <c r="Q11" s="135">
        <v>0</v>
      </c>
      <c r="W11" s="131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5">
        <f t="shared" si="1"/>
        <v>3.3261592643318849E-3</v>
      </c>
    </row>
    <row r="12" spans="1:31" x14ac:dyDescent="0.25">
      <c r="H12" s="71"/>
      <c r="W12" s="131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5" t="e">
        <f t="shared" si="1"/>
        <v>#DIV/0!</v>
      </c>
    </row>
    <row r="13" spans="1:31" x14ac:dyDescent="0.25">
      <c r="H13" s="71"/>
      <c r="W13" s="131">
        <v>42816</v>
      </c>
      <c r="X13" s="10" t="s">
        <v>550</v>
      </c>
      <c r="Y13" s="10"/>
      <c r="Z13" s="10"/>
      <c r="AA13" s="10"/>
      <c r="AB13" s="94"/>
      <c r="AC13" s="10"/>
      <c r="AD13" s="2">
        <f t="shared" si="0"/>
        <v>0</v>
      </c>
      <c r="AE13" s="135">
        <f t="shared" si="1"/>
        <v>-1</v>
      </c>
    </row>
    <row r="14" spans="1:31" x14ac:dyDescent="0.25">
      <c r="H14" s="71"/>
      <c r="W14" s="131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5">
        <f t="shared" si="1"/>
        <v>-2.9279718914697606E-3</v>
      </c>
    </row>
    <row r="15" spans="1:31" x14ac:dyDescent="0.25">
      <c r="H15" s="71"/>
      <c r="W15" s="131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5">
        <f t="shared" si="1"/>
        <v>-2.3369036027264256E-3</v>
      </c>
    </row>
    <row r="16" spans="1:31" x14ac:dyDescent="0.25">
      <c r="H16" s="71"/>
      <c r="W16" s="131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5">
        <f t="shared" si="1"/>
        <v>1.3650546021841681E-3</v>
      </c>
    </row>
    <row r="17" spans="1:31" x14ac:dyDescent="0.25">
      <c r="W17" s="131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5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1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5">
        <f t="shared" si="1"/>
        <v>1.459416233506583E-2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5">
        <f t="shared" si="1"/>
        <v>-8.1300813008129413E-3</v>
      </c>
    </row>
    <row r="20" spans="1:31" x14ac:dyDescent="0.25">
      <c r="W20" s="131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5">
        <f t="shared" si="1"/>
        <v>3.5820895522387097E-3</v>
      </c>
    </row>
    <row r="21" spans="1:31" x14ac:dyDescent="0.25">
      <c r="W21" s="131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5">
        <f t="shared" si="1"/>
        <v>9.0361445783133654E-3</v>
      </c>
    </row>
    <row r="22" spans="1:31" x14ac:dyDescent="0.25">
      <c r="W22" s="131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5">
        <f t="shared" si="1"/>
        <v>7.6891946580330828E-3</v>
      </c>
    </row>
    <row r="23" spans="1:31" x14ac:dyDescent="0.25">
      <c r="W23" s="131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5">
        <f t="shared" si="1"/>
        <v>-4.0306328093510091E-3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5">
        <f t="shared" si="1"/>
        <v>-5.0130338881090308E-3</v>
      </c>
    </row>
    <row r="25" spans="1:31" x14ac:dyDescent="0.25">
      <c r="B25" s="190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8">
        <f t="shared" ref="H25:H37" si="4">(E25-D25)/D25</f>
        <v>0</v>
      </c>
      <c r="I25" s="40"/>
      <c r="W25" s="131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5">
        <f t="shared" si="1"/>
        <v>-4.7894631810018184E-3</v>
      </c>
    </row>
    <row r="26" spans="1:31" x14ac:dyDescent="0.25">
      <c r="B26" s="190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8">
        <f t="shared" si="4"/>
        <v>-1.1270718232044155E-2</v>
      </c>
      <c r="I26" s="40"/>
      <c r="W26" s="131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5">
        <f t="shared" si="1"/>
        <v>8.046670690001978E-3</v>
      </c>
    </row>
    <row r="27" spans="1:31" x14ac:dyDescent="0.25">
      <c r="B27" s="190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8">
        <f t="shared" si="4"/>
        <v>8.8397790055248313E-3</v>
      </c>
      <c r="I27" s="40"/>
      <c r="W27" s="131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5">
        <f t="shared" si="1"/>
        <v>-3.8076152304609145E-3</v>
      </c>
    </row>
    <row r="28" spans="1:31" x14ac:dyDescent="0.25">
      <c r="B28" s="190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8">
        <f t="shared" si="4"/>
        <v>3.2486187845303841E-2</v>
      </c>
      <c r="I28" s="40"/>
      <c r="W28" s="131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5">
        <f t="shared" si="1"/>
        <v>1.0530579181854849E-2</v>
      </c>
    </row>
    <row r="29" spans="1:31" x14ac:dyDescent="0.25">
      <c r="B29" s="190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8">
        <f t="shared" si="4"/>
        <v>0</v>
      </c>
      <c r="I29" s="40"/>
      <c r="W29" s="131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5">
        <f t="shared" si="1"/>
        <v>-1.011531458628312E-3</v>
      </c>
    </row>
    <row r="30" spans="1:31" x14ac:dyDescent="0.25">
      <c r="B30" s="190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8">
        <f t="shared" si="4"/>
        <v>2.4088397790055324E-2</v>
      </c>
      <c r="I30" s="40"/>
      <c r="W30" s="131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5">
        <f t="shared" si="1"/>
        <v>2.4335834516324706E-3</v>
      </c>
    </row>
    <row r="31" spans="1:31" x14ac:dyDescent="0.25">
      <c r="B31" s="190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8">
        <f t="shared" si="4"/>
        <v>3.9116022099447582E-2</v>
      </c>
      <c r="I31" s="40"/>
      <c r="W31" s="131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5">
        <f t="shared" si="1"/>
        <v>-9.0434083601285131E-3</v>
      </c>
    </row>
    <row r="32" spans="1:31" x14ac:dyDescent="0.25">
      <c r="B32" s="190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8">
        <f t="shared" si="4"/>
        <v>4.3535911602209917E-2</v>
      </c>
      <c r="I32" s="40"/>
      <c r="W32" s="131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5">
        <f t="shared" si="1"/>
        <v>2.4174053182917099E-3</v>
      </c>
    </row>
    <row r="33" spans="2:31" x14ac:dyDescent="0.25">
      <c r="B33" s="190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8">
        <f t="shared" si="4"/>
        <v>3.7569060773480725E-2</v>
      </c>
      <c r="I33" s="40"/>
      <c r="W33" s="131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5">
        <f t="shared" si="1"/>
        <v>-2.0140986908356862E-4</v>
      </c>
    </row>
    <row r="34" spans="2:31" x14ac:dyDescent="0.25">
      <c r="B34" s="190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8">
        <f t="shared" si="4"/>
        <v>4.7513812154696099E-2</v>
      </c>
      <c r="I34" s="40"/>
      <c r="W34" s="131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5">
        <f t="shared" si="1"/>
        <v>2.014504431908648E-4</v>
      </c>
    </row>
    <row r="35" spans="2:31" x14ac:dyDescent="0.25">
      <c r="B35" s="190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8">
        <f t="shared" si="4"/>
        <v>4.4419889502762384E-2</v>
      </c>
      <c r="I35" s="40"/>
      <c r="W35" s="131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5">
        <f t="shared" si="1"/>
        <v>-3.6130068245684432E-3</v>
      </c>
    </row>
    <row r="36" spans="2:31" x14ac:dyDescent="0.25">
      <c r="B36" s="190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8">
        <f t="shared" si="4"/>
        <v>4.6187845303867478E-2</v>
      </c>
      <c r="I36" s="40"/>
      <c r="W36" s="131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5">
        <f t="shared" si="1"/>
        <v>4.0306328093511201E-3</v>
      </c>
    </row>
    <row r="37" spans="2:31" x14ac:dyDescent="0.25">
      <c r="B37" s="190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8">
        <f t="shared" si="4"/>
        <v>0.10462547382619015</v>
      </c>
      <c r="I37" s="40"/>
      <c r="W37" s="131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5">
        <f t="shared" si="1"/>
        <v>4.6568131200648288E-3</v>
      </c>
    </row>
    <row r="38" spans="2:31" x14ac:dyDescent="0.25">
      <c r="B38" s="190">
        <v>42580</v>
      </c>
      <c r="C38" s="10">
        <v>0</v>
      </c>
      <c r="D38" s="40"/>
      <c r="E38" s="40"/>
      <c r="F38" s="40">
        <v>257.89999999999998</v>
      </c>
      <c r="G38" s="40"/>
      <c r="H38" s="228"/>
      <c r="I38" s="40"/>
      <c r="W38" s="131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5">
        <f t="shared" si="1"/>
        <v>2.0251113811253774E-4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5">
        <f t="shared" si="1"/>
        <v>3.6585365853658569E-3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5">
        <f t="shared" si="1"/>
        <v>2.0329335230750978E-4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61.875000000000007</v>
      </c>
      <c r="Q41" s="2"/>
      <c r="W41" s="131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5">
        <f t="shared" si="1"/>
        <v>3.4679722562218629E-3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5">O42*$Q$4</f>
        <v>61.312500000000007</v>
      </c>
      <c r="Q42" s="2"/>
      <c r="T42" s="90" t="s">
        <v>112</v>
      </c>
      <c r="W42" s="131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5">
        <f t="shared" si="1"/>
        <v>1.8393623543839777E-3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5"/>
        <v>60.750000000000007</v>
      </c>
      <c r="Q43" s="2"/>
      <c r="T43" s="126" t="s">
        <v>97</v>
      </c>
      <c r="U43" s="97">
        <v>51.4</v>
      </c>
      <c r="W43" s="131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5">
        <f t="shared" si="1"/>
        <v>4.0891433244749642E-4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5"/>
        <v>60.1875</v>
      </c>
      <c r="Q44" s="2"/>
      <c r="T44" s="92" t="s">
        <v>98</v>
      </c>
      <c r="U44" s="87">
        <v>51.4</v>
      </c>
      <c r="W44" s="131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5">
        <f t="shared" si="1"/>
        <v>-9.5180234912921602E-3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5"/>
        <v>59.625</v>
      </c>
      <c r="Q45" s="2"/>
      <c r="T45" s="92" t="s">
        <v>99</v>
      </c>
      <c r="U45" s="87" t="s">
        <v>128</v>
      </c>
      <c r="W45" s="131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5">
        <f t="shared" si="1"/>
        <v>3.6585365853658569E-3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5"/>
        <v>59.0625</v>
      </c>
      <c r="Q46" s="2"/>
      <c r="T46" s="92" t="s">
        <v>100</v>
      </c>
      <c r="U46" s="87" t="s">
        <v>128</v>
      </c>
      <c r="W46" s="131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5">
        <f t="shared" si="1"/>
        <v>-8.1234768480908937E-4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5"/>
        <v>58.5</v>
      </c>
      <c r="Q47" s="2"/>
      <c r="T47" s="92" t="s">
        <v>329</v>
      </c>
      <c r="U47" s="87">
        <v>51.32</v>
      </c>
      <c r="W47" s="131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5">
        <f t="shared" si="1"/>
        <v>3.0556121409655024E-3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5"/>
        <v>57.9375</v>
      </c>
      <c r="Q48" s="2"/>
      <c r="T48" s="92" t="s">
        <v>330</v>
      </c>
      <c r="U48" s="87" t="s">
        <v>531</v>
      </c>
      <c r="W48" s="131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5">
        <f t="shared" si="1"/>
        <v>4.7073270568973591E-3</v>
      </c>
    </row>
    <row r="49" spans="1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5"/>
        <v>57.375</v>
      </c>
      <c r="Q49" s="2"/>
      <c r="T49" s="92" t="s">
        <v>331</v>
      </c>
      <c r="U49" s="446">
        <v>3.5700000000000003E-2</v>
      </c>
      <c r="W49" s="131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5">
        <f t="shared" si="1"/>
        <v>-8.1201786439301094E-3</v>
      </c>
    </row>
    <row r="50" spans="1:31" x14ac:dyDescent="0.25">
      <c r="O50" s="82">
        <v>1.01</v>
      </c>
      <c r="P50" s="82">
        <f t="shared" si="5"/>
        <v>56.8125</v>
      </c>
      <c r="Q50" s="2"/>
      <c r="T50" s="92"/>
      <c r="U50" s="87"/>
      <c r="W50" s="131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5">
        <f t="shared" si="1"/>
        <v>-2.0296326364943607E-4</v>
      </c>
    </row>
    <row r="51" spans="1:31" x14ac:dyDescent="0.25">
      <c r="O51" s="82">
        <v>1</v>
      </c>
      <c r="P51" s="82">
        <f t="shared" si="5"/>
        <v>56.25</v>
      </c>
      <c r="Q51" s="2"/>
      <c r="T51" s="92" t="s">
        <v>104</v>
      </c>
      <c r="U51" s="87" t="s">
        <v>660</v>
      </c>
      <c r="W51" s="131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5">
        <f t="shared" si="1"/>
        <v>-6.4529138939302122E-3</v>
      </c>
    </row>
    <row r="52" spans="1:31" x14ac:dyDescent="0.25">
      <c r="O52" s="82">
        <v>0.99</v>
      </c>
      <c r="P52" s="82">
        <f t="shared" si="5"/>
        <v>55.6875</v>
      </c>
      <c r="Q52" s="2"/>
      <c r="T52" s="92" t="s">
        <v>105</v>
      </c>
      <c r="U52" s="87" t="s">
        <v>549</v>
      </c>
      <c r="W52" s="131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5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55.125</v>
      </c>
      <c r="Q53" s="2"/>
      <c r="T53" s="92" t="s">
        <v>106</v>
      </c>
      <c r="U53" s="89">
        <v>3916048</v>
      </c>
      <c r="W53" s="131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5">
        <f t="shared" si="1"/>
        <v>2.2499488647984567E-3</v>
      </c>
    </row>
    <row r="54" spans="1:31" x14ac:dyDescent="0.25">
      <c r="A54" s="260" t="s">
        <v>1</v>
      </c>
      <c r="B54" s="260" t="s">
        <v>2</v>
      </c>
      <c r="C54" s="260" t="s">
        <v>4</v>
      </c>
      <c r="D54" s="261" t="s">
        <v>5</v>
      </c>
      <c r="E54" s="261" t="s">
        <v>94</v>
      </c>
      <c r="F54" s="261" t="s">
        <v>60</v>
      </c>
      <c r="G54" s="260" t="s">
        <v>3</v>
      </c>
      <c r="H54" s="260" t="s">
        <v>6</v>
      </c>
      <c r="I54" s="261" t="s">
        <v>7</v>
      </c>
      <c r="J54" s="261" t="s">
        <v>95</v>
      </c>
      <c r="K54" s="261" t="s">
        <v>61</v>
      </c>
      <c r="L54" s="260" t="s">
        <v>37</v>
      </c>
      <c r="M54" s="260" t="s">
        <v>38</v>
      </c>
      <c r="O54" s="82">
        <v>0.97</v>
      </c>
      <c r="P54" s="82">
        <f t="shared" si="5"/>
        <v>54.5625</v>
      </c>
      <c r="T54" s="92" t="s">
        <v>109</v>
      </c>
      <c r="U54" s="89">
        <v>3019040</v>
      </c>
      <c r="W54" s="131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5">
        <f t="shared" si="1"/>
        <v>3.0775543701271335E-3</v>
      </c>
    </row>
    <row r="55" spans="1:31" x14ac:dyDescent="0.25">
      <c r="A55" s="262" t="s">
        <v>226</v>
      </c>
      <c r="B55" s="263">
        <v>42545</v>
      </c>
      <c r="C55" s="258">
        <v>100</v>
      </c>
      <c r="D55" s="259">
        <v>45.25</v>
      </c>
      <c r="E55" s="259">
        <v>0</v>
      </c>
      <c r="F55" s="259">
        <f>D55*C55+E55</f>
        <v>4525</v>
      </c>
      <c r="G55" s="263">
        <v>42577</v>
      </c>
      <c r="H55" s="264">
        <v>50</v>
      </c>
      <c r="I55" s="259">
        <v>47.5</v>
      </c>
      <c r="J55" s="259">
        <v>0.05</v>
      </c>
      <c r="K55" s="259">
        <f>H55*I55-J55</f>
        <v>2374.9499999999998</v>
      </c>
      <c r="L55" s="263" t="s">
        <v>239</v>
      </c>
      <c r="M55" s="258"/>
      <c r="O55" s="82">
        <v>0.96</v>
      </c>
      <c r="P55" s="82">
        <f t="shared" si="5"/>
        <v>54</v>
      </c>
      <c r="T55" s="92" t="s">
        <v>332</v>
      </c>
      <c r="U55" s="87">
        <v>15</v>
      </c>
      <c r="W55" s="131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5">
        <f t="shared" si="1"/>
        <v>5.5704559521354557E-3</v>
      </c>
    </row>
    <row r="56" spans="1:31" x14ac:dyDescent="0.25">
      <c r="A56" s="265" t="s">
        <v>71</v>
      </c>
      <c r="B56" s="263"/>
      <c r="C56" s="258"/>
      <c r="D56" s="259"/>
      <c r="E56" s="259"/>
      <c r="F56" s="259"/>
      <c r="G56" s="263">
        <v>42580</v>
      </c>
      <c r="H56" s="264">
        <v>50</v>
      </c>
      <c r="I56" s="259">
        <v>48.16</v>
      </c>
      <c r="J56" s="259">
        <v>0.3</v>
      </c>
      <c r="K56" s="259">
        <f>H56*I56-J56</f>
        <v>2407.6999999999998</v>
      </c>
      <c r="L56" s="258"/>
      <c r="M56" s="258"/>
      <c r="O56" s="82">
        <v>0.95</v>
      </c>
      <c r="P56" s="82">
        <f t="shared" si="5"/>
        <v>53.4375</v>
      </c>
      <c r="T56" s="92" t="s">
        <v>333</v>
      </c>
      <c r="U56" s="87">
        <v>3.4</v>
      </c>
      <c r="W56" s="131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5">
        <f t="shared" si="1"/>
        <v>-2.0588840848260181E-3</v>
      </c>
    </row>
    <row r="57" spans="1:31" x14ac:dyDescent="0.25">
      <c r="A57" s="258"/>
      <c r="B57" s="263"/>
      <c r="C57" s="258"/>
      <c r="D57" s="259"/>
      <c r="E57" s="259"/>
      <c r="F57" s="259"/>
      <c r="G57" s="258"/>
      <c r="H57" s="264"/>
      <c r="I57" s="259"/>
      <c r="J57" s="259"/>
      <c r="K57" s="259"/>
      <c r="L57" s="258"/>
      <c r="M57" s="258"/>
      <c r="O57" s="82">
        <v>0.94</v>
      </c>
      <c r="P57" s="82">
        <f t="shared" si="5"/>
        <v>52.875</v>
      </c>
      <c r="T57" s="92"/>
      <c r="U57" s="87"/>
      <c r="W57" s="131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5">
        <f t="shared" si="1"/>
        <v>-4.1008816895633515E-3</v>
      </c>
    </row>
    <row r="58" spans="1:31" x14ac:dyDescent="0.25">
      <c r="A58" s="258"/>
      <c r="B58" s="263"/>
      <c r="C58" s="258"/>
      <c r="D58" s="259"/>
      <c r="E58" s="259"/>
      <c r="F58" s="259"/>
      <c r="G58" s="258"/>
      <c r="H58" s="264"/>
      <c r="I58" s="259"/>
      <c r="J58" s="259"/>
      <c r="K58" s="259"/>
      <c r="L58" s="258"/>
      <c r="M58" s="258"/>
      <c r="O58" s="82">
        <v>0.93</v>
      </c>
      <c r="P58" s="82">
        <f t="shared" si="5"/>
        <v>52.3125</v>
      </c>
      <c r="T58" s="92"/>
      <c r="U58" s="87"/>
      <c r="W58" s="131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5">
        <f t="shared" si="1"/>
        <v>0</v>
      </c>
    </row>
    <row r="59" spans="1:31" x14ac:dyDescent="0.25">
      <c r="A59" s="258"/>
      <c r="B59" s="263"/>
      <c r="C59" s="258"/>
      <c r="D59" s="259"/>
      <c r="E59" s="259"/>
      <c r="F59" s="259"/>
      <c r="G59" s="258"/>
      <c r="H59" s="264"/>
      <c r="I59" s="259"/>
      <c r="J59" s="259"/>
      <c r="K59" s="259"/>
      <c r="L59" s="258"/>
      <c r="M59" s="258"/>
      <c r="O59" s="82">
        <v>0.92</v>
      </c>
      <c r="P59" s="82">
        <f t="shared" si="5"/>
        <v>51.75</v>
      </c>
      <c r="W59" s="131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5">
        <f t="shared" si="1"/>
        <v>4.3245469522241731E-3</v>
      </c>
    </row>
    <row r="60" spans="1:31" x14ac:dyDescent="0.25">
      <c r="A60" s="258"/>
      <c r="B60" s="258"/>
      <c r="C60" s="258"/>
      <c r="D60" s="259"/>
      <c r="E60" s="259"/>
      <c r="F60" s="259"/>
      <c r="G60" s="258"/>
      <c r="H60" s="264"/>
      <c r="I60" s="259"/>
      <c r="J60" s="259"/>
      <c r="K60" s="259"/>
      <c r="L60" s="258"/>
      <c r="M60" s="258"/>
      <c r="O60" s="82">
        <v>0.91</v>
      </c>
      <c r="P60" s="82">
        <f t="shared" si="5"/>
        <v>51.1875</v>
      </c>
      <c r="W60" s="131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5">
        <f t="shared" si="1"/>
        <v>1.0307153164297311E-3</v>
      </c>
    </row>
    <row r="61" spans="1:31" x14ac:dyDescent="0.25">
      <c r="A61" s="258"/>
      <c r="B61" s="258"/>
      <c r="C61" s="258"/>
      <c r="D61" s="259"/>
      <c r="E61" s="259"/>
      <c r="F61" s="259"/>
      <c r="G61" s="258"/>
      <c r="H61" s="264"/>
      <c r="I61" s="259"/>
      <c r="J61" s="259"/>
      <c r="K61" s="259"/>
      <c r="L61" s="258"/>
      <c r="M61" s="258"/>
      <c r="O61" s="82">
        <v>0.9</v>
      </c>
      <c r="P61" s="82">
        <f t="shared" si="5"/>
        <v>50.625</v>
      </c>
      <c r="W61" s="131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5">
        <f t="shared" si="1"/>
        <v>5.180273518441858E-3</v>
      </c>
    </row>
    <row r="62" spans="1:31" x14ac:dyDescent="0.25">
      <c r="A62" s="258"/>
      <c r="B62" s="258"/>
      <c r="C62" s="258"/>
      <c r="D62" s="259"/>
      <c r="E62" s="259"/>
      <c r="F62" s="259"/>
      <c r="G62" s="258"/>
      <c r="H62" s="264"/>
      <c r="I62" s="259"/>
      <c r="J62" s="259"/>
      <c r="K62" s="259"/>
      <c r="L62" s="258"/>
      <c r="M62" s="258"/>
      <c r="W62" s="131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5">
        <f t="shared" si="1"/>
        <v>-2.0716801325881828E-4</v>
      </c>
    </row>
    <row r="63" spans="1:31" x14ac:dyDescent="0.25">
      <c r="A63" s="258"/>
      <c r="B63" s="258"/>
      <c r="C63" s="258"/>
      <c r="D63" s="259"/>
      <c r="E63" s="259"/>
      <c r="F63" s="259"/>
      <c r="G63" s="258"/>
      <c r="H63" s="264"/>
      <c r="I63" s="259"/>
      <c r="J63" s="259"/>
      <c r="K63" s="259"/>
      <c r="L63" s="258"/>
      <c r="M63" s="258"/>
      <c r="W63" s="131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5">
        <f t="shared" si="1"/>
        <v>-3.5094962840626076E-3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131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5">
        <f t="shared" si="1"/>
        <v>-4.9301561216105183E-3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131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5">
        <f t="shared" si="1"/>
        <v>9.121061359867344E-3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131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5">
        <f t="shared" si="1"/>
        <v>8.3612040133778098E-3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131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131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58"/>
      <c r="I70" s="259"/>
      <c r="J70" s="259"/>
      <c r="K70" s="259"/>
      <c r="L70" s="258"/>
      <c r="M70" s="258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0" t="s">
        <v>195</v>
      </c>
      <c r="B72" s="461"/>
      <c r="C72" s="462">
        <f>SumByColor($A$19,C55:C70)</f>
        <v>0</v>
      </c>
      <c r="D72" s="462"/>
      <c r="E72" s="462"/>
      <c r="F72" s="463">
        <f>SumByColor($A$19,F55:F70)</f>
        <v>0</v>
      </c>
      <c r="G72" s="462"/>
      <c r="H72" s="462">
        <f>SumByColor($A$19,H55:H70)</f>
        <v>0</v>
      </c>
      <c r="I72" s="462"/>
      <c r="J72" s="462"/>
      <c r="K72" s="463">
        <f>SumByColor($A$19,K55:K70)</f>
        <v>0</v>
      </c>
      <c r="L72" s="462"/>
      <c r="M72" s="46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6" priority="9">
      <formula>F39&gt;0</formula>
    </cfRule>
    <cfRule type="expression" dxfId="695" priority="10">
      <formula>F39&lt;0</formula>
    </cfRule>
  </conditionalFormatting>
  <conditionalFormatting sqref="F25:F38">
    <cfRule type="expression" dxfId="694" priority="7">
      <formula>F25&gt;0</formula>
    </cfRule>
    <cfRule type="expression" dxfId="693" priority="8">
      <formula>F25&lt;0</formula>
    </cfRule>
  </conditionalFormatting>
  <conditionalFormatting sqref="H25:H38">
    <cfRule type="expression" dxfId="692" priority="5">
      <formula>H25&gt;0</formula>
    </cfRule>
    <cfRule type="expression" dxfId="691" priority="6">
      <formula>H25&lt;0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5"/>
    </row>
    <row r="2" spans="1:33" x14ac:dyDescent="0.25">
      <c r="A2" s="6" t="s">
        <v>34</v>
      </c>
      <c r="B2" s="498">
        <v>42872</v>
      </c>
      <c r="C2" s="7">
        <v>100</v>
      </c>
      <c r="D2" s="44">
        <v>27.48</v>
      </c>
      <c r="E2" s="44">
        <v>0</v>
      </c>
      <c r="F2" s="44">
        <f t="shared" ref="F2:F8" si="0">C2*D2+E2</f>
        <v>2748</v>
      </c>
      <c r="G2" s="498">
        <v>42955</v>
      </c>
      <c r="H2" s="81">
        <v>100</v>
      </c>
      <c r="I2" s="44">
        <v>29.18</v>
      </c>
      <c r="J2" s="44">
        <v>7.0000000000000007E-2</v>
      </c>
      <c r="K2" s="44">
        <f>I2*H2-J2</f>
        <v>2917.93</v>
      </c>
      <c r="L2" s="4"/>
      <c r="M2" s="4"/>
      <c r="N2" s="4"/>
      <c r="O2" s="11" t="s">
        <v>57</v>
      </c>
      <c r="Q2">
        <f>C22-H22</f>
        <v>450</v>
      </c>
      <c r="T2" s="455">
        <v>42568</v>
      </c>
      <c r="U2" s="125" t="s">
        <v>246</v>
      </c>
      <c r="V2" s="16"/>
    </row>
    <row r="3" spans="1:33" x14ac:dyDescent="0.25">
      <c r="A3" s="23" t="s">
        <v>71</v>
      </c>
      <c r="B3" s="498">
        <v>42872</v>
      </c>
      <c r="C3" s="4">
        <v>100</v>
      </c>
      <c r="D3" s="3">
        <v>27.48</v>
      </c>
      <c r="E3" s="3">
        <v>0</v>
      </c>
      <c r="F3" s="3">
        <f t="shared" si="0"/>
        <v>2748</v>
      </c>
      <c r="G3" s="498">
        <v>42962</v>
      </c>
      <c r="H3" s="81">
        <v>100</v>
      </c>
      <c r="I3" s="44">
        <v>29.31</v>
      </c>
      <c r="J3" s="44">
        <v>7.0000000000000007E-2</v>
      </c>
      <c r="K3" s="44">
        <f>I3*H3-J3</f>
        <v>2930.93</v>
      </c>
      <c r="L3" s="4"/>
      <c r="M3" s="4"/>
      <c r="N3" s="4"/>
      <c r="O3" s="11" t="s">
        <v>58</v>
      </c>
      <c r="Q3" s="504">
        <f>(F22-K22)/Q2</f>
        <v>26.957955555555561</v>
      </c>
      <c r="T3" s="1">
        <v>42621</v>
      </c>
      <c r="U3" s="34" t="s">
        <v>264</v>
      </c>
      <c r="AC3" s="231"/>
      <c r="AF3" s="231"/>
    </row>
    <row r="4" spans="1:33" x14ac:dyDescent="0.25">
      <c r="B4" s="499">
        <v>42872</v>
      </c>
      <c r="C4" s="4">
        <v>200</v>
      </c>
      <c r="D4" s="3">
        <v>27.08</v>
      </c>
      <c r="E4" s="3">
        <v>0</v>
      </c>
      <c r="F4" s="3">
        <f t="shared" si="0"/>
        <v>5416</v>
      </c>
      <c r="G4" s="499"/>
      <c r="H4" s="182"/>
      <c r="I4" s="3"/>
      <c r="J4" s="3"/>
      <c r="K4" s="3"/>
      <c r="L4" s="4"/>
      <c r="M4" s="4"/>
      <c r="N4" s="4"/>
      <c r="O4" s="11" t="s">
        <v>66</v>
      </c>
      <c r="Q4" s="198">
        <v>29.68</v>
      </c>
      <c r="R4" s="497">
        <v>1.4999999999999999E-2</v>
      </c>
      <c r="T4" s="1">
        <v>42627</v>
      </c>
      <c r="U4" s="34" t="s">
        <v>264</v>
      </c>
      <c r="AC4" s="231"/>
      <c r="AF4" s="231"/>
    </row>
    <row r="5" spans="1:33" x14ac:dyDescent="0.25">
      <c r="B5" s="697">
        <v>42944</v>
      </c>
      <c r="C5" s="7">
        <v>50</v>
      </c>
      <c r="D5" s="44">
        <v>29.45</v>
      </c>
      <c r="E5" s="44">
        <v>-0.06</v>
      </c>
      <c r="F5" s="44">
        <f t="shared" si="0"/>
        <v>1472.44</v>
      </c>
      <c r="G5" s="73"/>
      <c r="H5" s="182"/>
      <c r="I5" s="3"/>
      <c r="J5" s="3"/>
      <c r="K5" s="3"/>
      <c r="L5" s="4"/>
      <c r="M5" s="4"/>
      <c r="N5" s="4"/>
      <c r="O5" s="11" t="s">
        <v>67</v>
      </c>
      <c r="Q5" s="3">
        <f>Q4*Q2</f>
        <v>13356</v>
      </c>
      <c r="T5" t="s">
        <v>338</v>
      </c>
      <c r="AC5" s="231"/>
      <c r="AF5" s="231"/>
    </row>
    <row r="6" spans="1:33" x14ac:dyDescent="0.25">
      <c r="B6" s="697">
        <v>42947</v>
      </c>
      <c r="C6" s="7">
        <v>50</v>
      </c>
      <c r="D6" s="44">
        <v>28.45</v>
      </c>
      <c r="E6" s="44">
        <v>0</v>
      </c>
      <c r="F6" s="44">
        <f t="shared" si="0"/>
        <v>1422.5</v>
      </c>
      <c r="G6" s="73"/>
      <c r="H6" s="182"/>
      <c r="I6" s="3"/>
      <c r="J6" s="3"/>
      <c r="K6" s="3"/>
      <c r="L6" s="4"/>
      <c r="M6" s="4"/>
      <c r="N6" s="4"/>
      <c r="O6" s="11" t="s">
        <v>64</v>
      </c>
      <c r="Q6" s="2">
        <f>Q3*Q2</f>
        <v>12131.080000000002</v>
      </c>
      <c r="T6" s="23" t="s">
        <v>489</v>
      </c>
      <c r="AC6" s="231"/>
      <c r="AF6" s="231"/>
    </row>
    <row r="7" spans="1:33" x14ac:dyDescent="0.25">
      <c r="B7" s="697">
        <v>42950</v>
      </c>
      <c r="C7" s="4">
        <v>50</v>
      </c>
      <c r="D7" s="3">
        <v>27.7</v>
      </c>
      <c r="E7" s="3">
        <v>0</v>
      </c>
      <c r="F7" s="3">
        <f t="shared" si="0"/>
        <v>1385</v>
      </c>
      <c r="G7" s="73"/>
      <c r="H7" s="182"/>
      <c r="I7" s="3"/>
      <c r="J7" s="3"/>
      <c r="K7" s="3"/>
      <c r="L7" s="4"/>
      <c r="M7" s="4"/>
      <c r="N7" s="4"/>
      <c r="O7" s="11" t="s">
        <v>179</v>
      </c>
      <c r="Q7" s="2">
        <f>Q10+Q8</f>
        <v>20171.716999999786</v>
      </c>
      <c r="R7">
        <v>200</v>
      </c>
    </row>
    <row r="8" spans="1:33" x14ac:dyDescent="0.25">
      <c r="B8" s="697">
        <v>42957</v>
      </c>
      <c r="C8" s="4">
        <v>100</v>
      </c>
      <c r="D8" s="3">
        <v>27.88</v>
      </c>
      <c r="E8" s="3">
        <v>0</v>
      </c>
      <c r="F8" s="3">
        <f t="shared" si="0"/>
        <v>2788</v>
      </c>
      <c r="G8" s="73"/>
      <c r="H8" s="182"/>
      <c r="I8" s="3"/>
      <c r="J8" s="3"/>
      <c r="K8" s="3"/>
      <c r="L8" s="4"/>
      <c r="M8" s="4"/>
      <c r="N8" s="4"/>
      <c r="O8" s="11" t="s">
        <v>181</v>
      </c>
      <c r="P8" s="34"/>
      <c r="Q8" s="2">
        <f>K22+M22-F22+Q2*Q4</f>
        <v>1224.9199999999983</v>
      </c>
      <c r="T8" t="s">
        <v>554</v>
      </c>
      <c r="AC8" s="231"/>
      <c r="AF8" s="231"/>
      <c r="AG8" s="231"/>
    </row>
    <row r="9" spans="1:33" x14ac:dyDescent="0.25">
      <c r="B9" s="499"/>
      <c r="C9" s="4"/>
      <c r="D9" s="3"/>
      <c r="E9" s="3"/>
      <c r="F9" s="3"/>
      <c r="G9" s="161"/>
      <c r="H9" s="4"/>
      <c r="I9" s="3"/>
      <c r="J9" s="3"/>
      <c r="K9" s="3"/>
      <c r="L9" s="4"/>
      <c r="M9" s="4"/>
      <c r="N9" s="4"/>
      <c r="O9" s="11" t="s">
        <v>211</v>
      </c>
      <c r="Q9" s="379">
        <f>IF(Q2=0, 0, Q8/Q6)</f>
        <v>0.10097369731301731</v>
      </c>
    </row>
    <row r="10" spans="1:33" x14ac:dyDescent="0.25">
      <c r="G10" s="161"/>
      <c r="H10" s="4"/>
      <c r="I10" s="3"/>
      <c r="J10" s="3"/>
      <c r="K10" s="3"/>
      <c r="L10" s="3"/>
      <c r="M10" s="4"/>
      <c r="N10" s="4"/>
      <c r="O10" s="11" t="s">
        <v>210</v>
      </c>
      <c r="P10" s="34"/>
      <c r="Q10" s="2">
        <f>M250</f>
        <v>18946.796999999788</v>
      </c>
      <c r="T10" s="11"/>
      <c r="AC10" s="231"/>
      <c r="AF10" s="231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176</v>
      </c>
      <c r="P11" s="34"/>
      <c r="Q11" s="135">
        <v>0</v>
      </c>
      <c r="T11" s="1"/>
    </row>
    <row r="12" spans="1:33" x14ac:dyDescent="0.25">
      <c r="A12" s="2"/>
      <c r="B12" s="499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1"/>
      <c r="AF12" s="231"/>
    </row>
    <row r="13" spans="1:33" x14ac:dyDescent="0.25">
      <c r="B13" s="499"/>
      <c r="C13" s="4"/>
      <c r="D13" s="3"/>
      <c r="E13" s="3"/>
      <c r="F13" s="3"/>
      <c r="G13" s="72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9"/>
      <c r="C14" s="4"/>
      <c r="D14" s="3"/>
      <c r="E14" s="3"/>
      <c r="F14" s="3"/>
      <c r="G14" s="720"/>
      <c r="H14" s="4"/>
      <c r="I14" s="3"/>
      <c r="J14" s="3"/>
      <c r="K14" s="3"/>
      <c r="L14" s="4"/>
      <c r="M14" s="4"/>
      <c r="N14" s="4"/>
      <c r="AC14" s="231"/>
      <c r="AF14" s="231"/>
      <c r="AG14" s="231"/>
    </row>
    <row r="15" spans="1:33" x14ac:dyDescent="0.25">
      <c r="B15" s="499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499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499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9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1"/>
      <c r="AF18" s="231"/>
    </row>
    <row r="19" spans="1:32" x14ac:dyDescent="0.25">
      <c r="B19" s="499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650</v>
      </c>
      <c r="D22" s="12"/>
      <c r="E22" s="12"/>
      <c r="F22" s="13">
        <f>SUM(F2:F21)</f>
        <v>17979.940000000002</v>
      </c>
      <c r="G22" s="12"/>
      <c r="H22" s="12">
        <f>SUM(H2:H21)</f>
        <v>200</v>
      </c>
      <c r="I22" s="13"/>
      <c r="J22" s="13"/>
      <c r="K22" s="13">
        <f>SUM(K2:K21)</f>
        <v>5848.86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1" t="s">
        <v>195</v>
      </c>
      <c r="B23" s="352"/>
      <c r="C23" s="353">
        <f>SumByColor($A$23,C2:C21)</f>
        <v>100</v>
      </c>
      <c r="D23" s="353"/>
      <c r="E23" s="353"/>
      <c r="F23" s="354">
        <f>SumByColor($A$23,F2:F21)</f>
        <v>2748</v>
      </c>
      <c r="G23" s="353"/>
      <c r="H23" s="353">
        <f>SumByColor($A$23,H2:H21)</f>
        <v>100</v>
      </c>
      <c r="I23" s="353"/>
      <c r="J23" s="353"/>
      <c r="K23" s="354">
        <f>SumByColor($A$23,K2:K21)</f>
        <v>5849</v>
      </c>
      <c r="L23" s="353"/>
      <c r="M23" s="35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1" t="s">
        <v>78</v>
      </c>
      <c r="P24" s="691"/>
      <c r="Q24" s="2"/>
    </row>
    <row r="25" spans="1:32" ht="15.75" thickTop="1" x14ac:dyDescent="0.25">
      <c r="B25" s="499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32.648000000000003</v>
      </c>
      <c r="Q25" s="2"/>
    </row>
    <row r="26" spans="1:32" x14ac:dyDescent="0.25">
      <c r="B26" s="499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1">O26*$Q$4</f>
        <v>32.351199999999999</v>
      </c>
      <c r="Q26" s="2"/>
    </row>
    <row r="27" spans="1:32" x14ac:dyDescent="0.25">
      <c r="B27" s="499"/>
      <c r="C27" s="4"/>
      <c r="D27" s="3"/>
      <c r="E27" s="3"/>
      <c r="F27" s="3"/>
      <c r="G27" s="73"/>
      <c r="H27" s="182"/>
      <c r="I27" s="3"/>
      <c r="J27" s="3"/>
      <c r="K27" s="3"/>
      <c r="L27" s="4"/>
      <c r="M27" s="4"/>
      <c r="N27" s="4"/>
      <c r="O27" s="82">
        <v>1.08</v>
      </c>
      <c r="P27" s="82">
        <f t="shared" si="1"/>
        <v>32.054400000000001</v>
      </c>
      <c r="Q27" s="2"/>
    </row>
    <row r="28" spans="1:32" x14ac:dyDescent="0.25">
      <c r="B28" s="499"/>
      <c r="C28" s="4"/>
      <c r="D28" s="3"/>
      <c r="E28" s="3"/>
      <c r="F28" s="3"/>
      <c r="G28" s="73"/>
      <c r="H28" s="182"/>
      <c r="I28" s="3"/>
      <c r="J28" s="3"/>
      <c r="K28" s="3"/>
      <c r="L28" s="4"/>
      <c r="M28" s="4"/>
      <c r="N28" s="4"/>
      <c r="O28" s="82">
        <v>1.07</v>
      </c>
      <c r="P28" s="82">
        <f t="shared" si="1"/>
        <v>31.7576</v>
      </c>
      <c r="Q28" s="2"/>
    </row>
    <row r="29" spans="1:32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491</v>
      </c>
      <c r="L29" s="226" t="s">
        <v>740</v>
      </c>
      <c r="M29" s="4"/>
      <c r="N29" s="4"/>
      <c r="O29" s="82">
        <v>1.06</v>
      </c>
      <c r="P29" s="82">
        <f t="shared" si="1"/>
        <v>31.460800000000003</v>
      </c>
    </row>
    <row r="30" spans="1:32" x14ac:dyDescent="0.25">
      <c r="A30" s="376" t="s">
        <v>362</v>
      </c>
      <c r="B30" s="375">
        <v>42754</v>
      </c>
      <c r="C30" s="376">
        <v>1550</v>
      </c>
      <c r="D30" s="381">
        <v>20.207419000000002</v>
      </c>
      <c r="E30" s="377">
        <v>21.71</v>
      </c>
      <c r="F30" s="377">
        <f t="shared" ref="F30:F39" si="2">-C30*(D30-E30)</f>
        <v>2329.0005499999988</v>
      </c>
      <c r="G30" s="377">
        <f>IF(C30=0, 0,D30*C30)</f>
        <v>31321.499450000003</v>
      </c>
      <c r="H30" s="379">
        <f t="shared" ref="H30:H39" si="3">IF(C30=0, D30, (E30-D30)/D30)</f>
        <v>7.4357888060815641E-2</v>
      </c>
      <c r="I30" s="377"/>
      <c r="J30" s="377"/>
      <c r="K30" s="377"/>
      <c r="L30" s="377"/>
      <c r="M30" s="4"/>
      <c r="N30" s="4"/>
      <c r="O30" s="82">
        <v>1.05</v>
      </c>
      <c r="P30" s="82">
        <f t="shared" si="1"/>
        <v>31.164000000000001</v>
      </c>
    </row>
    <row r="31" spans="1:32" x14ac:dyDescent="0.25">
      <c r="A31" s="376" t="s">
        <v>369</v>
      </c>
      <c r="B31" s="375">
        <v>42759</v>
      </c>
      <c r="C31" s="376">
        <v>1350</v>
      </c>
      <c r="D31" s="381">
        <v>19.798221999999999</v>
      </c>
      <c r="E31" s="377">
        <v>22.995000000000001</v>
      </c>
      <c r="F31" s="377">
        <f t="shared" si="2"/>
        <v>4315.650300000003</v>
      </c>
      <c r="G31" s="377">
        <f t="shared" ref="G31:G39" si="4">IF(C31=0, 0,D31*C31)</f>
        <v>26727.599699999999</v>
      </c>
      <c r="H31" s="379">
        <f t="shared" si="3"/>
        <v>0.16146793383769523</v>
      </c>
      <c r="I31" s="377"/>
      <c r="J31" s="377"/>
      <c r="K31" s="377"/>
      <c r="L31" s="377"/>
      <c r="M31" s="4"/>
      <c r="N31" s="4"/>
      <c r="O31" s="82">
        <v>1.04</v>
      </c>
      <c r="P31" s="82">
        <f t="shared" si="1"/>
        <v>30.8672</v>
      </c>
    </row>
    <row r="32" spans="1:32" x14ac:dyDescent="0.25">
      <c r="A32" s="376" t="s">
        <v>370</v>
      </c>
      <c r="B32" s="375">
        <v>42759</v>
      </c>
      <c r="C32" s="376">
        <v>1550</v>
      </c>
      <c r="D32" s="381">
        <v>20.192</v>
      </c>
      <c r="E32" s="377">
        <v>22.86</v>
      </c>
      <c r="F32" s="377">
        <f t="shared" si="2"/>
        <v>4135.3999999999987</v>
      </c>
      <c r="G32" s="377">
        <f t="shared" si="4"/>
        <v>31297.599999999999</v>
      </c>
      <c r="H32" s="379">
        <f t="shared" si="3"/>
        <v>0.13213153724247223</v>
      </c>
      <c r="I32" s="377"/>
      <c r="J32" s="377"/>
      <c r="K32" s="377"/>
      <c r="L32" s="377"/>
      <c r="M32" s="4"/>
      <c r="N32" s="4"/>
      <c r="O32" s="82">
        <v>1.03</v>
      </c>
      <c r="P32" s="82">
        <f t="shared" si="1"/>
        <v>30.570399999999999</v>
      </c>
    </row>
    <row r="33" spans="1:32" x14ac:dyDescent="0.25">
      <c r="A33" s="376"/>
      <c r="B33" s="375">
        <v>42760</v>
      </c>
      <c r="C33" s="376">
        <v>950</v>
      </c>
      <c r="D33" s="381">
        <v>17.926220000000001</v>
      </c>
      <c r="E33" s="377">
        <v>23.78</v>
      </c>
      <c r="F33" s="377">
        <f t="shared" si="2"/>
        <v>5561.0910000000003</v>
      </c>
      <c r="G33" s="377">
        <f t="shared" si="4"/>
        <v>17029.909</v>
      </c>
      <c r="H33" s="379">
        <f t="shared" si="3"/>
        <v>0.32654848596078817</v>
      </c>
      <c r="I33" s="377"/>
      <c r="J33" s="377"/>
      <c r="K33" s="377"/>
      <c r="L33" s="377"/>
      <c r="M33" s="4"/>
      <c r="N33" s="4"/>
      <c r="O33" s="82">
        <v>1.02</v>
      </c>
      <c r="P33" s="82">
        <f t="shared" si="1"/>
        <v>30.273600000000002</v>
      </c>
    </row>
    <row r="34" spans="1:32" x14ac:dyDescent="0.25">
      <c r="A34" s="376" t="s">
        <v>371</v>
      </c>
      <c r="B34" s="375">
        <v>42760</v>
      </c>
      <c r="C34" s="376">
        <v>1550</v>
      </c>
      <c r="D34" s="381">
        <v>20.03736</v>
      </c>
      <c r="E34" s="377">
        <v>23.38</v>
      </c>
      <c r="F34" s="377">
        <f t="shared" si="2"/>
        <v>5181.0919999999987</v>
      </c>
      <c r="G34" s="377">
        <f t="shared" si="4"/>
        <v>31057.907999999999</v>
      </c>
      <c r="H34" s="379">
        <f t="shared" si="3"/>
        <v>0.16682037953103598</v>
      </c>
      <c r="I34" s="377">
        <v>20</v>
      </c>
      <c r="J34" s="377"/>
      <c r="K34" s="377"/>
      <c r="L34" s="377"/>
      <c r="M34" s="4"/>
      <c r="N34" s="4"/>
      <c r="O34" s="82">
        <v>1.01</v>
      </c>
      <c r="P34" s="82">
        <f t="shared" si="1"/>
        <v>29.976800000000001</v>
      </c>
    </row>
    <row r="35" spans="1:32" x14ac:dyDescent="0.25">
      <c r="A35" s="521" t="s">
        <v>393</v>
      </c>
      <c r="B35" s="520">
        <v>42765</v>
      </c>
      <c r="C35" s="521">
        <v>1350</v>
      </c>
      <c r="D35" s="522">
        <v>23.093333000000001</v>
      </c>
      <c r="E35" s="523">
        <v>24.18</v>
      </c>
      <c r="F35" s="523">
        <f t="shared" si="2"/>
        <v>1467.000449999998</v>
      </c>
      <c r="G35" s="523">
        <f t="shared" si="4"/>
        <v>31175.99955</v>
      </c>
      <c r="H35" s="524">
        <f t="shared" si="3"/>
        <v>4.7055442365118903E-2</v>
      </c>
      <c r="I35" s="523"/>
      <c r="J35" s="523"/>
      <c r="K35" s="523"/>
      <c r="L35" s="523"/>
      <c r="M35" s="4"/>
      <c r="N35" s="4"/>
      <c r="O35" s="82">
        <v>1</v>
      </c>
      <c r="P35" s="82">
        <f t="shared" si="1"/>
        <v>29.68</v>
      </c>
    </row>
    <row r="36" spans="1:32" x14ac:dyDescent="0.25">
      <c r="A36" s="521" t="s">
        <v>410</v>
      </c>
      <c r="B36" s="520">
        <v>42769</v>
      </c>
      <c r="C36" s="521">
        <v>1350</v>
      </c>
      <c r="D36" s="522">
        <v>23.059799999999999</v>
      </c>
      <c r="E36" s="523">
        <v>24.6</v>
      </c>
      <c r="F36" s="523">
        <f t="shared" si="2"/>
        <v>2079.2700000000032</v>
      </c>
      <c r="G36" s="523">
        <f t="shared" si="4"/>
        <v>31130.73</v>
      </c>
      <c r="H36" s="524">
        <f t="shared" si="3"/>
        <v>6.679155933702817E-2</v>
      </c>
      <c r="I36" s="523"/>
      <c r="J36" s="523"/>
      <c r="K36" s="523"/>
      <c r="L36" s="523"/>
      <c r="M36" s="4"/>
      <c r="N36" s="4"/>
      <c r="O36" s="82">
        <v>0.99</v>
      </c>
      <c r="P36" s="82">
        <f t="shared" si="1"/>
        <v>29.383199999999999</v>
      </c>
      <c r="AC36" s="231"/>
    </row>
    <row r="37" spans="1:32" x14ac:dyDescent="0.25">
      <c r="A37" s="521" t="s">
        <v>436</v>
      </c>
      <c r="B37" s="520">
        <v>42776</v>
      </c>
      <c r="C37" s="521">
        <v>1550</v>
      </c>
      <c r="D37" s="522">
        <v>23.174665000000001</v>
      </c>
      <c r="E37" s="523">
        <v>24.05</v>
      </c>
      <c r="F37" s="523">
        <f t="shared" si="2"/>
        <v>1356.7692499999996</v>
      </c>
      <c r="G37" s="523">
        <f t="shared" si="4"/>
        <v>35920.730750000002</v>
      </c>
      <c r="H37" s="524">
        <f t="shared" si="3"/>
        <v>3.7771204028191979E-2</v>
      </c>
      <c r="I37" s="523">
        <v>23</v>
      </c>
      <c r="J37" s="523"/>
      <c r="K37" s="523"/>
      <c r="L37" s="523"/>
      <c r="M37" s="4"/>
      <c r="N37" s="4"/>
      <c r="O37" s="82">
        <v>0.98</v>
      </c>
      <c r="P37" s="82">
        <f t="shared" si="1"/>
        <v>29.086399999999998</v>
      </c>
    </row>
    <row r="38" spans="1:32" x14ac:dyDescent="0.25">
      <c r="A38" s="521" t="s">
        <v>441</v>
      </c>
      <c r="B38" s="520">
        <v>42780</v>
      </c>
      <c r="C38" s="521">
        <v>1650</v>
      </c>
      <c r="D38" s="522">
        <v>23.174665000000001</v>
      </c>
      <c r="E38" s="523">
        <v>23.12</v>
      </c>
      <c r="F38" s="523">
        <f t="shared" si="2"/>
        <v>-90.19724999999994</v>
      </c>
      <c r="G38" s="523">
        <f t="shared" si="4"/>
        <v>38238.197250000005</v>
      </c>
      <c r="H38" s="524">
        <f t="shared" si="3"/>
        <v>-2.3588258988856995E-3</v>
      </c>
      <c r="I38" s="523"/>
      <c r="J38" s="523"/>
      <c r="K38" s="523"/>
      <c r="L38" s="523"/>
      <c r="M38" s="3"/>
      <c r="N38" s="4"/>
      <c r="O38" s="82">
        <v>0.97</v>
      </c>
      <c r="P38" s="82">
        <f t="shared" si="1"/>
        <v>28.7896</v>
      </c>
    </row>
    <row r="39" spans="1:32" x14ac:dyDescent="0.25">
      <c r="A39" s="521" t="s">
        <v>455</v>
      </c>
      <c r="B39" s="520">
        <v>42782</v>
      </c>
      <c r="C39" s="521">
        <v>1550</v>
      </c>
      <c r="D39" s="522">
        <v>23.148890000000002</v>
      </c>
      <c r="E39" s="523">
        <v>22.98</v>
      </c>
      <c r="F39" s="523">
        <f t="shared" si="2"/>
        <v>-261.77950000000169</v>
      </c>
      <c r="G39" s="523">
        <f t="shared" si="4"/>
        <v>35880.779500000004</v>
      </c>
      <c r="H39" s="524">
        <f t="shared" si="3"/>
        <v>-7.2958141837470864E-3</v>
      </c>
      <c r="I39" s="523">
        <v>23</v>
      </c>
      <c r="J39" s="523"/>
      <c r="K39" s="523"/>
      <c r="L39" s="523"/>
      <c r="M39" s="4"/>
      <c r="N39" s="4"/>
      <c r="O39" s="82">
        <v>0.96</v>
      </c>
      <c r="P39" s="82">
        <f t="shared" si="1"/>
        <v>28.492799999999999</v>
      </c>
    </row>
    <row r="40" spans="1:32" x14ac:dyDescent="0.25">
      <c r="A40" s="661" t="s">
        <v>455</v>
      </c>
      <c r="B40" s="662">
        <v>42788</v>
      </c>
      <c r="C40" s="661">
        <v>1550</v>
      </c>
      <c r="D40" s="672">
        <v>23.390999999999998</v>
      </c>
      <c r="E40" s="663">
        <v>23.75</v>
      </c>
      <c r="F40" s="663">
        <f t="shared" ref="F40" si="5">-C40*(D40-E40)</f>
        <v>556.45000000000277</v>
      </c>
      <c r="G40" s="663">
        <f t="shared" ref="G40" si="6">IF(C40=0, 0,D40*C40)</f>
        <v>36256.049999999996</v>
      </c>
      <c r="H40" s="673">
        <f t="shared" ref="H40" si="7">IF(C40=0, D40, (E40-D40)/D40)</f>
        <v>1.5347783335470985E-2</v>
      </c>
      <c r="I40" s="663">
        <v>23</v>
      </c>
      <c r="J40" s="663"/>
      <c r="K40" s="663"/>
      <c r="L40" s="663"/>
      <c r="M40" s="4"/>
      <c r="N40" s="4"/>
      <c r="O40" s="82">
        <v>0.95</v>
      </c>
      <c r="P40" s="82">
        <f t="shared" si="1"/>
        <v>28.195999999999998</v>
      </c>
    </row>
    <row r="41" spans="1:32" x14ac:dyDescent="0.25">
      <c r="A41" s="661" t="s">
        <v>475</v>
      </c>
      <c r="B41" s="662">
        <v>42790</v>
      </c>
      <c r="C41" s="661">
        <v>1550</v>
      </c>
      <c r="D41" s="672">
        <v>23.390999999999998</v>
      </c>
      <c r="E41" s="663">
        <v>23.24</v>
      </c>
      <c r="F41" s="663">
        <f t="shared" ref="F41" si="8">-C41*(D41-E41)</f>
        <v>-234.0499999999997</v>
      </c>
      <c r="G41" s="663">
        <f t="shared" ref="G41" si="9">IF(C41=0, 0,D41*C41)</f>
        <v>36256.049999999996</v>
      </c>
      <c r="H41" s="673">
        <f t="shared" ref="H41" si="10">IF(C41=0, D41, (E41-D41)/D41)</f>
        <v>-6.4554743277328809E-3</v>
      </c>
      <c r="I41" s="663"/>
      <c r="J41" s="663"/>
      <c r="K41" s="663"/>
      <c r="L41" s="663"/>
      <c r="M41" s="4"/>
      <c r="N41" s="4"/>
      <c r="O41" s="82">
        <v>0.94</v>
      </c>
      <c r="P41" s="82">
        <f t="shared" si="1"/>
        <v>27.899199999999997</v>
      </c>
    </row>
    <row r="42" spans="1:32" x14ac:dyDescent="0.25">
      <c r="A42" s="661"/>
      <c r="B42" s="662">
        <v>42793</v>
      </c>
      <c r="C42" s="661">
        <v>1550</v>
      </c>
      <c r="D42" s="672">
        <v>23.390999999999998</v>
      </c>
      <c r="E42" s="663">
        <v>23.76</v>
      </c>
      <c r="F42" s="663">
        <f t="shared" ref="F42:F43" si="11">-C42*(D42-E42)</f>
        <v>571.95000000000516</v>
      </c>
      <c r="G42" s="663">
        <f t="shared" ref="G42:G43" si="12">IF(C42=0, 0,D42*C42)</f>
        <v>36256.049999999996</v>
      </c>
      <c r="H42" s="673">
        <f t="shared" ref="H42:H43" si="13">IF(C42=0, D42, (E42-D42)/D42)</f>
        <v>1.5775298191612303E-2</v>
      </c>
      <c r="I42" s="663"/>
      <c r="J42" s="663"/>
      <c r="K42" s="663"/>
      <c r="L42" s="663"/>
      <c r="M42" s="4"/>
      <c r="N42" s="4"/>
      <c r="O42" s="82">
        <v>0.93</v>
      </c>
      <c r="P42" s="82">
        <f t="shared" si="1"/>
        <v>27.602400000000003</v>
      </c>
      <c r="AC42" s="231"/>
      <c r="AF42" s="231"/>
    </row>
    <row r="43" spans="1:32" x14ac:dyDescent="0.25">
      <c r="A43" s="661">
        <v>600</v>
      </c>
      <c r="B43" s="662">
        <v>42795</v>
      </c>
      <c r="C43" s="661">
        <v>1200</v>
      </c>
      <c r="D43" s="672">
        <v>23.166550000000001</v>
      </c>
      <c r="E43" s="663">
        <v>24.55</v>
      </c>
      <c r="F43" s="663">
        <f t="shared" si="11"/>
        <v>1660.1399999999999</v>
      </c>
      <c r="G43" s="663">
        <f t="shared" si="12"/>
        <v>27799.86</v>
      </c>
      <c r="H43" s="673">
        <f t="shared" si="13"/>
        <v>5.9717566922998885E-2</v>
      </c>
      <c r="I43" s="663">
        <v>23</v>
      </c>
      <c r="J43" s="663"/>
      <c r="K43" s="663">
        <v>14210</v>
      </c>
      <c r="L43" s="663">
        <f>(G43-K43)/C43</f>
        <v>11.324883333333334</v>
      </c>
      <c r="N43" s="4"/>
      <c r="O43" s="82">
        <v>0.92</v>
      </c>
      <c r="P43" s="82">
        <f t="shared" si="1"/>
        <v>27.305600000000002</v>
      </c>
    </row>
    <row r="44" spans="1:32" x14ac:dyDescent="0.25">
      <c r="A44" s="661">
        <v>200</v>
      </c>
      <c r="B44" s="662">
        <v>42796</v>
      </c>
      <c r="C44" s="661">
        <v>1200</v>
      </c>
      <c r="D44" s="672">
        <v>22.916799999999999</v>
      </c>
      <c r="E44" s="663">
        <v>24.7</v>
      </c>
      <c r="F44" s="663">
        <f t="shared" ref="F44:F45" si="14">-C44*(D44-E44)</f>
        <v>2139.8400000000011</v>
      </c>
      <c r="G44" s="663">
        <f t="shared" ref="G44:G45" si="15">IF(C44=0, 0,D44*C44)</f>
        <v>27500.16</v>
      </c>
      <c r="H44" s="673">
        <f t="shared" ref="H44:H45" si="16">IF(C44=0, D44, (E44-D44)/D44)</f>
        <v>7.7811910912518364E-2</v>
      </c>
      <c r="I44" s="663">
        <v>22.5</v>
      </c>
      <c r="J44" s="663"/>
      <c r="K44" s="663">
        <v>14690</v>
      </c>
      <c r="L44" s="663">
        <f t="shared" ref="L44:L52" si="17">(G44-K44)/C44</f>
        <v>10.675133333333333</v>
      </c>
      <c r="N44" s="4"/>
      <c r="O44" s="82">
        <v>0.91</v>
      </c>
      <c r="P44" s="82">
        <f t="shared" si="1"/>
        <v>27.008800000000001</v>
      </c>
    </row>
    <row r="45" spans="1:32" x14ac:dyDescent="0.25">
      <c r="A45" s="661">
        <v>100</v>
      </c>
      <c r="B45" s="662">
        <v>42798</v>
      </c>
      <c r="C45" s="661">
        <v>1000</v>
      </c>
      <c r="D45" s="672">
        <v>22.424299999999999</v>
      </c>
      <c r="E45" s="663">
        <v>25.57</v>
      </c>
      <c r="F45" s="663">
        <f t="shared" si="14"/>
        <v>3145.7000000000016</v>
      </c>
      <c r="G45" s="663">
        <f t="shared" si="15"/>
        <v>22424.3</v>
      </c>
      <c r="H45" s="673">
        <f t="shared" si="16"/>
        <v>0.14028085603563997</v>
      </c>
      <c r="I45" s="663"/>
      <c r="J45" s="663"/>
      <c r="K45" s="663">
        <v>15696</v>
      </c>
      <c r="L45" s="663">
        <f t="shared" si="17"/>
        <v>6.7282999999999991</v>
      </c>
      <c r="N45" s="4"/>
      <c r="O45" s="82">
        <v>0.9</v>
      </c>
      <c r="P45" s="82">
        <f t="shared" si="1"/>
        <v>26.712</v>
      </c>
    </row>
    <row r="46" spans="1:32" x14ac:dyDescent="0.25">
      <c r="A46" s="661">
        <v>100</v>
      </c>
      <c r="B46" s="662">
        <v>42803</v>
      </c>
      <c r="C46" s="661">
        <v>1100</v>
      </c>
      <c r="D46" s="672">
        <v>22.663</v>
      </c>
      <c r="E46" s="663">
        <v>25.15</v>
      </c>
      <c r="F46" s="663">
        <f t="shared" ref="F46" si="18">-C46*(D46-E46)</f>
        <v>2735.699999999998</v>
      </c>
      <c r="G46" s="663">
        <f t="shared" ref="G46" si="19">IF(C46=0, 0,D46*C46)</f>
        <v>24929.3</v>
      </c>
      <c r="H46" s="673">
        <f t="shared" ref="H46" si="20">IF(C46=0, D46, (E46-D46)/D46)</f>
        <v>0.1097383400255923</v>
      </c>
      <c r="I46" s="663"/>
      <c r="J46" s="663"/>
      <c r="K46" s="663">
        <v>15286</v>
      </c>
      <c r="L46" s="663">
        <f t="shared" si="17"/>
        <v>8.7666363636363638</v>
      </c>
      <c r="N46" s="4"/>
      <c r="S46" s="4"/>
      <c r="T46" s="4"/>
      <c r="U46" s="108"/>
    </row>
    <row r="47" spans="1:32" x14ac:dyDescent="0.25">
      <c r="A47" s="661">
        <v>0</v>
      </c>
      <c r="B47" s="662">
        <v>42804</v>
      </c>
      <c r="C47" s="661">
        <v>1000</v>
      </c>
      <c r="D47" s="672">
        <v>22.371400000000001</v>
      </c>
      <c r="E47" s="663">
        <v>25.18</v>
      </c>
      <c r="F47" s="663">
        <f t="shared" ref="F47" si="21">-C47*(D47-E47)</f>
        <v>2808.5999999999985</v>
      </c>
      <c r="G47" s="663">
        <f t="shared" ref="G47" si="22">IF(C47=0, 0,D47*C47)</f>
        <v>22371.4</v>
      </c>
      <c r="H47" s="673">
        <f t="shared" ref="H47" si="23">IF(C47=0, D47, (E47-D47)/D47)</f>
        <v>0.12554422164012974</v>
      </c>
      <c r="I47" s="663"/>
      <c r="J47" s="663"/>
      <c r="K47" s="663">
        <v>15359</v>
      </c>
      <c r="L47" s="663">
        <f t="shared" si="17"/>
        <v>7.0124000000000013</v>
      </c>
      <c r="N47" s="4"/>
      <c r="S47" s="4"/>
      <c r="T47" s="4"/>
      <c r="U47" s="108"/>
    </row>
    <row r="48" spans="1:32" x14ac:dyDescent="0.25">
      <c r="A48" s="661">
        <v>200</v>
      </c>
      <c r="B48" s="662">
        <v>42808</v>
      </c>
      <c r="C48" s="661">
        <v>1000</v>
      </c>
      <c r="D48" s="672">
        <v>22.371400000000001</v>
      </c>
      <c r="E48" s="663">
        <v>25.58</v>
      </c>
      <c r="F48" s="663">
        <f t="shared" ref="F48" si="24">-C48*(D48-E48)</f>
        <v>3208.5999999999972</v>
      </c>
      <c r="G48" s="663">
        <f t="shared" ref="G48" si="25">IF(C48=0, 0,D48*C48)</f>
        <v>22371.4</v>
      </c>
      <c r="H48" s="673">
        <f t="shared" ref="H48" si="26">IF(C48=0, D48, (E48-D48)/D48)</f>
        <v>0.1434241933897743</v>
      </c>
      <c r="I48" s="663">
        <v>22</v>
      </c>
      <c r="J48" s="663"/>
      <c r="K48" s="663">
        <v>15759</v>
      </c>
      <c r="L48" s="663">
        <f t="shared" si="17"/>
        <v>6.6124000000000018</v>
      </c>
      <c r="M48" s="4"/>
      <c r="N48" s="4"/>
      <c r="S48" s="426"/>
      <c r="T48" s="426"/>
      <c r="U48" s="427"/>
    </row>
    <row r="49" spans="1:32" x14ac:dyDescent="0.25">
      <c r="A49" s="474">
        <v>0</v>
      </c>
      <c r="B49" s="473">
        <v>42809</v>
      </c>
      <c r="C49" s="474">
        <v>1000</v>
      </c>
      <c r="D49" s="651">
        <v>24.635000000000002</v>
      </c>
      <c r="E49" s="475">
        <v>26.12</v>
      </c>
      <c r="F49" s="475">
        <f t="shared" ref="F49" si="27">-C49*(D49-E49)</f>
        <v>1484.9999999999995</v>
      </c>
      <c r="G49" s="475">
        <f t="shared" ref="G49" si="28">IF(C49=0, 0,D49*C49)</f>
        <v>24635</v>
      </c>
      <c r="H49" s="677">
        <f t="shared" ref="H49" si="29">IF(C49=0, D49, (E49-D49)/D49)</f>
        <v>6.0280089303835979E-2</v>
      </c>
      <c r="I49" s="475">
        <v>24</v>
      </c>
      <c r="J49" s="475">
        <v>68.36</v>
      </c>
      <c r="K49" s="475">
        <v>16373</v>
      </c>
      <c r="L49" s="475">
        <f t="shared" si="17"/>
        <v>8.2620000000000005</v>
      </c>
      <c r="M49" s="4"/>
      <c r="N49" s="4"/>
      <c r="S49" s="4"/>
      <c r="T49" s="4"/>
      <c r="U49" s="230"/>
    </row>
    <row r="50" spans="1:32" x14ac:dyDescent="0.25">
      <c r="A50" s="474">
        <v>0</v>
      </c>
      <c r="B50" s="473">
        <v>42817</v>
      </c>
      <c r="C50" s="474">
        <v>900</v>
      </c>
      <c r="D50" s="651">
        <v>24.152000000000001</v>
      </c>
      <c r="E50" s="475">
        <v>26.47</v>
      </c>
      <c r="F50" s="475">
        <f t="shared" ref="F50" si="30">-C50*(D50-E50)</f>
        <v>2086.199999999998</v>
      </c>
      <c r="G50" s="475">
        <f t="shared" ref="G50" si="31">IF(C50=0, 0,D50*C50)</f>
        <v>21736.799999999999</v>
      </c>
      <c r="H50" s="677">
        <f t="shared" ref="H50" si="32">IF(C50=0, D50, (E50-D50)/D50)</f>
        <v>9.5975488572374867E-2</v>
      </c>
      <c r="I50" s="475"/>
      <c r="J50" s="475"/>
      <c r="K50" s="475">
        <v>16974</v>
      </c>
      <c r="L50" s="475">
        <f t="shared" si="17"/>
        <v>5.2919999999999989</v>
      </c>
      <c r="M50" s="4"/>
      <c r="N50" s="4"/>
      <c r="S50" s="4"/>
      <c r="T50" s="4"/>
      <c r="U50" s="230"/>
      <c r="AC50" s="231"/>
      <c r="AF50" s="231"/>
    </row>
    <row r="51" spans="1:32" x14ac:dyDescent="0.25">
      <c r="A51" s="474">
        <v>0</v>
      </c>
      <c r="B51" s="473">
        <v>42818</v>
      </c>
      <c r="C51" s="474">
        <v>1000</v>
      </c>
      <c r="D51" s="651">
        <v>24.585000000000001</v>
      </c>
      <c r="E51" s="475">
        <v>28.43</v>
      </c>
      <c r="F51" s="475">
        <f t="shared" ref="F51:F52" si="33">-C51*(D51-E51)</f>
        <v>3844.9999999999991</v>
      </c>
      <c r="G51" s="475">
        <f t="shared" ref="G51:G52" si="34">IF(C51=0, 0,D51*C51)</f>
        <v>24585</v>
      </c>
      <c r="H51" s="677">
        <f t="shared" ref="H51:H52" si="35">IF(C51=0, D51, (E51-D51)/D51)</f>
        <v>0.15639617653040466</v>
      </c>
      <c r="I51" s="475">
        <v>24</v>
      </c>
      <c r="J51" s="475"/>
      <c r="K51" s="475">
        <v>18733</v>
      </c>
      <c r="L51" s="475">
        <f t="shared" si="17"/>
        <v>5.8520000000000003</v>
      </c>
      <c r="M51" s="4"/>
      <c r="N51" s="4"/>
      <c r="S51" s="4"/>
      <c r="T51" s="4"/>
      <c r="U51" s="230"/>
    </row>
    <row r="52" spans="1:32" x14ac:dyDescent="0.25">
      <c r="A52" s="4">
        <v>0</v>
      </c>
      <c r="B52" s="190">
        <v>42819</v>
      </c>
      <c r="C52" s="10">
        <v>1000</v>
      </c>
      <c r="D52" s="197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29">
        <f t="shared" si="35"/>
        <v>0.12848807208351518</v>
      </c>
      <c r="I52" s="40">
        <v>25</v>
      </c>
      <c r="J52" s="40"/>
      <c r="K52" s="40">
        <v>18733</v>
      </c>
      <c r="L52" s="40">
        <f t="shared" si="17"/>
        <v>6.46</v>
      </c>
      <c r="M52" s="4"/>
      <c r="N52" s="4"/>
      <c r="S52" s="4"/>
      <c r="T52" s="4"/>
      <c r="U52" s="230"/>
    </row>
    <row r="53" spans="1:32" x14ac:dyDescent="0.25">
      <c r="A53" s="4">
        <v>700</v>
      </c>
      <c r="B53" s="190">
        <v>42833</v>
      </c>
      <c r="C53" s="10">
        <v>1000</v>
      </c>
      <c r="D53" s="197">
        <v>25.193000000000001</v>
      </c>
      <c r="E53" s="40">
        <v>28.52</v>
      </c>
      <c r="F53" s="40">
        <f t="shared" ref="F53:F62" si="36">-C53*(D53-E53)</f>
        <v>3326.9999999999982</v>
      </c>
      <c r="G53" s="40">
        <f t="shared" ref="G53:G62" si="37">IF(C53=0, 0,D53*C53)</f>
        <v>25193</v>
      </c>
      <c r="H53" s="229">
        <f t="shared" ref="H53:H62" si="38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9">(G53-K53)/C53</f>
        <v>6.37</v>
      </c>
      <c r="M53" s="4"/>
      <c r="N53" s="4"/>
      <c r="S53" s="4"/>
      <c r="T53" s="4"/>
      <c r="U53" s="230"/>
    </row>
    <row r="54" spans="1:32" x14ac:dyDescent="0.25">
      <c r="A54" s="4">
        <v>700</v>
      </c>
      <c r="B54" s="190">
        <v>42835</v>
      </c>
      <c r="C54" s="10">
        <v>1100</v>
      </c>
      <c r="D54" s="197">
        <v>25.454999999999998</v>
      </c>
      <c r="E54" s="40">
        <v>27.64</v>
      </c>
      <c r="F54" s="40">
        <f t="shared" si="36"/>
        <v>2403.5000000000027</v>
      </c>
      <c r="G54" s="40">
        <f t="shared" si="37"/>
        <v>28000.499999999996</v>
      </c>
      <c r="H54" s="229">
        <f t="shared" si="38"/>
        <v>8.583775289726979E-2</v>
      </c>
      <c r="I54" s="40"/>
      <c r="J54" s="40"/>
      <c r="K54" s="40">
        <v>17899</v>
      </c>
      <c r="L54" s="40">
        <f t="shared" ref="L54:L62" si="40">(G54-K54)/C54</f>
        <v>9.183181818181815</v>
      </c>
      <c r="M54" s="4"/>
      <c r="N54" s="4"/>
      <c r="S54" s="4"/>
      <c r="T54" s="4"/>
      <c r="U54" s="428"/>
      <c r="AC54" s="231"/>
      <c r="AF54" s="231"/>
    </row>
    <row r="55" spans="1:32" x14ac:dyDescent="0.25">
      <c r="A55" s="4">
        <v>700</v>
      </c>
      <c r="B55" s="190">
        <v>42836</v>
      </c>
      <c r="C55" s="10">
        <v>1200</v>
      </c>
      <c r="D55" s="197">
        <v>25.588999999999999</v>
      </c>
      <c r="E55" s="40">
        <v>27.18</v>
      </c>
      <c r="F55" s="40">
        <f t="shared" si="36"/>
        <v>1909.2000000000012</v>
      </c>
      <c r="G55" s="40">
        <f t="shared" si="37"/>
        <v>30706.799999999999</v>
      </c>
      <c r="H55" s="229">
        <f t="shared" si="38"/>
        <v>6.2175153386220684E-2</v>
      </c>
      <c r="I55" s="40"/>
      <c r="J55" s="40"/>
      <c r="K55" s="40">
        <v>17405</v>
      </c>
      <c r="L55" s="40">
        <f t="shared" si="40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0">
        <v>42845</v>
      </c>
      <c r="C56" s="10">
        <v>1000</v>
      </c>
      <c r="D56" s="197">
        <v>25.117000000000001</v>
      </c>
      <c r="E56" s="40">
        <v>27.96</v>
      </c>
      <c r="F56" s="40">
        <f t="shared" si="36"/>
        <v>2843</v>
      </c>
      <c r="G56" s="40">
        <f t="shared" si="37"/>
        <v>25117</v>
      </c>
      <c r="H56" s="229">
        <f t="shared" si="38"/>
        <v>0.11319026953855954</v>
      </c>
      <c r="I56" s="40">
        <v>25</v>
      </c>
      <c r="J56" s="40"/>
      <c r="K56" s="40">
        <v>18339</v>
      </c>
      <c r="L56" s="40">
        <f t="shared" si="40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0">
        <v>42846</v>
      </c>
      <c r="C57" s="10">
        <v>1200</v>
      </c>
      <c r="D57" s="197">
        <v>25.486999999999998</v>
      </c>
      <c r="E57" s="40">
        <v>27.32</v>
      </c>
      <c r="F57" s="40">
        <f t="shared" si="36"/>
        <v>2199.6000000000022</v>
      </c>
      <c r="G57" s="40">
        <f t="shared" si="37"/>
        <v>30584.399999999998</v>
      </c>
      <c r="H57" s="229">
        <f t="shared" si="38"/>
        <v>7.1919017538352961E-2</v>
      </c>
      <c r="I57" s="40"/>
      <c r="J57" s="40"/>
      <c r="K57" s="40">
        <v>17695</v>
      </c>
      <c r="L57" s="40">
        <f t="shared" si="40"/>
        <v>10.741166666666665</v>
      </c>
      <c r="M57" s="4"/>
      <c r="N57" s="4"/>
      <c r="S57" s="426"/>
      <c r="T57" s="426"/>
      <c r="U57" s="427"/>
    </row>
    <row r="58" spans="1:32" x14ac:dyDescent="0.25">
      <c r="A58" s="4">
        <v>600</v>
      </c>
      <c r="B58" s="190">
        <v>42853</v>
      </c>
      <c r="C58" s="10">
        <v>1000</v>
      </c>
      <c r="D58" s="197">
        <v>24.948</v>
      </c>
      <c r="E58" s="40">
        <v>27.67</v>
      </c>
      <c r="F58" s="40">
        <f t="shared" si="36"/>
        <v>2722.0000000000014</v>
      </c>
      <c r="G58" s="40">
        <f t="shared" si="37"/>
        <v>24948</v>
      </c>
      <c r="H58" s="229">
        <f t="shared" si="38"/>
        <v>0.10910694244027583</v>
      </c>
      <c r="I58" s="199" t="s">
        <v>337</v>
      </c>
      <c r="J58" s="40"/>
      <c r="K58" s="40">
        <v>18217</v>
      </c>
      <c r="L58" s="40">
        <f t="shared" si="40"/>
        <v>6.7309999999999999</v>
      </c>
      <c r="M58" s="4"/>
      <c r="N58" s="4"/>
      <c r="S58" s="4"/>
      <c r="T58" s="4"/>
      <c r="U58" s="230"/>
      <c r="AC58" s="231"/>
      <c r="AF58" s="231"/>
    </row>
    <row r="59" spans="1:32" x14ac:dyDescent="0.25">
      <c r="A59" s="4">
        <v>550</v>
      </c>
      <c r="B59" s="190">
        <v>42856</v>
      </c>
      <c r="C59" s="10">
        <v>950</v>
      </c>
      <c r="D59" s="197">
        <v>24.771000000000001</v>
      </c>
      <c r="E59" s="40">
        <v>28.29</v>
      </c>
      <c r="F59" s="40">
        <f t="shared" si="36"/>
        <v>3343.0499999999984</v>
      </c>
      <c r="G59" s="40">
        <f t="shared" si="37"/>
        <v>23532.45</v>
      </c>
      <c r="H59" s="229">
        <f t="shared" si="38"/>
        <v>0.14206128133704729</v>
      </c>
      <c r="I59" s="40"/>
      <c r="J59" s="40"/>
      <c r="K59" s="40">
        <v>18839</v>
      </c>
      <c r="L59" s="40">
        <f t="shared" si="40"/>
        <v>4.9404736842105272</v>
      </c>
      <c r="M59" s="4"/>
      <c r="N59" s="4"/>
      <c r="S59" s="4"/>
      <c r="T59" s="4"/>
      <c r="U59" s="230"/>
    </row>
    <row r="60" spans="1:32" x14ac:dyDescent="0.25">
      <c r="A60" s="4">
        <v>0</v>
      </c>
      <c r="B60" s="190">
        <v>42864</v>
      </c>
      <c r="C60" s="10">
        <v>400</v>
      </c>
      <c r="D60" s="197">
        <v>19.736999999999998</v>
      </c>
      <c r="E60" s="40">
        <v>28.06</v>
      </c>
      <c r="F60" s="40">
        <f t="shared" si="36"/>
        <v>3329.2000000000003</v>
      </c>
      <c r="G60" s="40">
        <f t="shared" si="37"/>
        <v>7894.7999999999993</v>
      </c>
      <c r="H60" s="229">
        <f t="shared" si="38"/>
        <v>0.42169529310432191</v>
      </c>
      <c r="I60" s="40"/>
      <c r="J60" s="40"/>
      <c r="K60" s="40">
        <v>18825</v>
      </c>
      <c r="L60" s="40">
        <f>(G60-K60)/C60</f>
        <v>-27.325500000000002</v>
      </c>
      <c r="M60" s="4"/>
      <c r="N60" s="4"/>
      <c r="S60" s="4"/>
      <c r="T60" s="4"/>
      <c r="U60" s="428"/>
    </row>
    <row r="61" spans="1:32" x14ac:dyDescent="0.25">
      <c r="A61" s="4">
        <v>200</v>
      </c>
      <c r="B61" s="190">
        <v>42872</v>
      </c>
      <c r="C61" s="10">
        <v>800</v>
      </c>
      <c r="D61" s="197">
        <v>23.509</v>
      </c>
      <c r="E61" s="40">
        <v>27</v>
      </c>
      <c r="F61" s="40">
        <f t="shared" si="36"/>
        <v>2792.7999999999997</v>
      </c>
      <c r="G61" s="40">
        <f t="shared" si="37"/>
        <v>18807.2</v>
      </c>
      <c r="H61" s="229">
        <f t="shared" si="38"/>
        <v>0.14849632055808412</v>
      </c>
      <c r="I61" s="40"/>
      <c r="J61" s="40"/>
      <c r="K61" s="40">
        <v>18289</v>
      </c>
      <c r="L61" s="40">
        <f t="shared" si="40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0">
        <v>42874</v>
      </c>
      <c r="C62" s="10">
        <v>600</v>
      </c>
      <c r="D62" s="197">
        <v>21.98</v>
      </c>
      <c r="E62" s="40">
        <v>27.84</v>
      </c>
      <c r="F62" s="40">
        <f t="shared" si="36"/>
        <v>3515.9999999999995</v>
      </c>
      <c r="G62" s="40">
        <f t="shared" si="37"/>
        <v>13188</v>
      </c>
      <c r="H62" s="229">
        <f t="shared" si="38"/>
        <v>0.26660600545950863</v>
      </c>
      <c r="I62" s="40"/>
      <c r="J62" s="40"/>
      <c r="K62" s="40">
        <v>18793</v>
      </c>
      <c r="L62" s="40">
        <f t="shared" si="40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0">
        <v>42944</v>
      </c>
      <c r="C63" s="10">
        <v>450</v>
      </c>
      <c r="D63" s="197">
        <v>27.52</v>
      </c>
      <c r="E63" s="40">
        <v>29.28</v>
      </c>
      <c r="F63" s="40">
        <f t="shared" ref="F63:F64" si="41">-C63*(D63-E63)</f>
        <v>792.00000000000068</v>
      </c>
      <c r="G63" s="40">
        <f t="shared" ref="G63:G64" si="42">IF(C63=0, 0,D63*C63)</f>
        <v>12384</v>
      </c>
      <c r="H63" s="229">
        <f t="shared" ref="H63:H64" si="43">IF(C63=0, D63, (E63-D63)/D63)</f>
        <v>6.3953488372093081E-2</v>
      </c>
      <c r="I63" s="40"/>
      <c r="J63" s="40"/>
      <c r="K63" s="40">
        <v>19738</v>
      </c>
      <c r="L63" s="40">
        <f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0">
        <v>42947</v>
      </c>
      <c r="C64" s="10">
        <v>500</v>
      </c>
      <c r="D64" s="197">
        <v>27.613800000000001</v>
      </c>
      <c r="E64" s="40">
        <v>28.12</v>
      </c>
      <c r="F64" s="40">
        <f t="shared" si="41"/>
        <v>253.09999999999988</v>
      </c>
      <c r="G64" s="40">
        <f t="shared" si="42"/>
        <v>13806.900000000001</v>
      </c>
      <c r="H64" s="229">
        <f t="shared" si="43"/>
        <v>1.8331414003143347E-2</v>
      </c>
      <c r="I64" s="40"/>
      <c r="J64" s="40"/>
      <c r="K64" s="40">
        <v>19200</v>
      </c>
      <c r="L64" s="40">
        <f t="shared" ref="L64" si="44">(G64-K64)/C64</f>
        <v>-10.786199999999997</v>
      </c>
      <c r="M64" s="4"/>
      <c r="N64" s="4"/>
    </row>
    <row r="65" spans="1:18" x14ac:dyDescent="0.25">
      <c r="A65" s="4">
        <v>400</v>
      </c>
      <c r="B65" s="190">
        <v>42950</v>
      </c>
      <c r="C65" s="10">
        <v>550</v>
      </c>
      <c r="D65" s="197">
        <v>27.622</v>
      </c>
      <c r="E65" s="40">
        <v>27.83</v>
      </c>
      <c r="F65" s="40">
        <f t="shared" ref="F65" si="45">-C65*(D65-E65)</f>
        <v>114.39999999999912</v>
      </c>
      <c r="G65" s="40">
        <f t="shared" ref="G65" si="46">IF(C65=0, 0,D65*C65)</f>
        <v>15192.1</v>
      </c>
      <c r="H65" s="229">
        <f t="shared" ref="H65" si="47">IF(C65=0, D65, (E65-D65)/D65)</f>
        <v>7.5302295271884156E-3</v>
      </c>
      <c r="I65" s="40"/>
      <c r="J65" s="40"/>
      <c r="K65" s="40">
        <v>19061</v>
      </c>
      <c r="L65" s="40">
        <f t="shared" ref="L65" si="48">(G65-K65)/C65</f>
        <v>-7.0343636363636355</v>
      </c>
      <c r="M65" s="4"/>
      <c r="N65" s="4"/>
    </row>
    <row r="66" spans="1:18" x14ac:dyDescent="0.25">
      <c r="A66" s="4">
        <v>300</v>
      </c>
      <c r="B66" s="190">
        <v>42955</v>
      </c>
      <c r="C66" s="10">
        <v>450</v>
      </c>
      <c r="D66" s="197">
        <v>27.276</v>
      </c>
      <c r="E66" s="40">
        <v>28.84</v>
      </c>
      <c r="F66" s="40">
        <f t="shared" ref="F66:F67" si="49">-C66*(D66-E66)</f>
        <v>703.80000000000007</v>
      </c>
      <c r="G66" s="40">
        <f t="shared" ref="G66:G67" si="50">IF(C66=0, 0,D66*C66)</f>
        <v>12274.2</v>
      </c>
      <c r="H66" s="229">
        <f t="shared" ref="H66:H67" si="51">IF(C66=0, D66, (E66-D66)/D66)</f>
        <v>5.7339785892359586E-2</v>
      </c>
      <c r="I66" s="40"/>
      <c r="J66" s="40"/>
      <c r="K66" s="40">
        <v>19651</v>
      </c>
      <c r="L66" s="40">
        <f>(G66-K66)/C66</f>
        <v>-16.392888888888887</v>
      </c>
      <c r="M66" s="4"/>
      <c r="N66" s="4"/>
    </row>
    <row r="67" spans="1:18" x14ac:dyDescent="0.25">
      <c r="A67" s="4">
        <v>300</v>
      </c>
      <c r="B67" s="190">
        <v>42957</v>
      </c>
      <c r="C67" s="10">
        <v>550</v>
      </c>
      <c r="D67" s="197">
        <v>27.385000000000002</v>
      </c>
      <c r="E67" s="40">
        <v>27.49</v>
      </c>
      <c r="F67" s="40">
        <f t="shared" si="49"/>
        <v>57.74999999999828</v>
      </c>
      <c r="G67" s="40">
        <f t="shared" si="50"/>
        <v>15061.75</v>
      </c>
      <c r="H67" s="229">
        <f t="shared" si="51"/>
        <v>3.8342158115755656E-3</v>
      </c>
      <c r="I67" s="40"/>
      <c r="J67" s="40"/>
      <c r="K67" s="40">
        <v>19004</v>
      </c>
      <c r="L67" s="40">
        <f>(G67-K67)/C67</f>
        <v>-7.1677272727272729</v>
      </c>
      <c r="M67" s="4"/>
      <c r="N67" s="4"/>
      <c r="O67" s="4"/>
      <c r="P67" s="4"/>
      <c r="Q67" s="4"/>
      <c r="R67" s="4"/>
    </row>
    <row r="68" spans="1:18" x14ac:dyDescent="0.25">
      <c r="A68" s="4">
        <v>200</v>
      </c>
      <c r="B68" s="190">
        <v>42962</v>
      </c>
      <c r="C68" s="10">
        <v>450</v>
      </c>
      <c r="D68" s="197">
        <v>26.96</v>
      </c>
      <c r="E68" s="40">
        <v>29.68</v>
      </c>
      <c r="F68" s="40">
        <f t="shared" ref="F68" si="52">-C68*(D68-E68)</f>
        <v>1223.9999999999995</v>
      </c>
      <c r="G68" s="40">
        <f t="shared" ref="G68" si="53">IF(C68=0, 0,D68*C68)</f>
        <v>12132</v>
      </c>
      <c r="H68" s="229">
        <f t="shared" ref="H68" si="54">IF(C68=0, D68, (E68-D68)/D68)</f>
        <v>0.10089020771513349</v>
      </c>
      <c r="I68" s="40"/>
      <c r="J68" s="40"/>
      <c r="K68" s="40">
        <v>20172</v>
      </c>
      <c r="L68" s="40">
        <f>(G68-K68)/C68</f>
        <v>-17.866666666666667</v>
      </c>
      <c r="O68" s="426"/>
      <c r="P68" s="4"/>
      <c r="Q68" s="4"/>
      <c r="R68" s="4"/>
    </row>
    <row r="69" spans="1:18" x14ac:dyDescent="0.25">
      <c r="B69" s="190"/>
      <c r="C69" s="10"/>
      <c r="D69" s="197"/>
      <c r="E69" s="40"/>
      <c r="F69" s="40"/>
      <c r="G69" s="40"/>
      <c r="H69" s="229"/>
      <c r="I69" s="40"/>
      <c r="J69" s="40"/>
      <c r="K69" s="40"/>
      <c r="L69" s="40"/>
      <c r="Q69" s="426"/>
      <c r="R69" s="426"/>
    </row>
    <row r="70" spans="1:18" x14ac:dyDescent="0.25">
      <c r="B70" s="190"/>
      <c r="C70" s="10"/>
      <c r="D70" s="197"/>
      <c r="E70" s="40"/>
      <c r="F70" s="40"/>
      <c r="G70" s="40"/>
      <c r="H70" s="229"/>
      <c r="I70" s="40"/>
      <c r="J70" s="40"/>
      <c r="K70" s="40"/>
      <c r="L70" s="40"/>
      <c r="Q70" s="4"/>
      <c r="R70" s="4"/>
    </row>
    <row r="71" spans="1:18" x14ac:dyDescent="0.25">
      <c r="B71" s="190"/>
      <c r="C71" s="10"/>
      <c r="D71" s="197"/>
      <c r="E71" s="40"/>
      <c r="F71" s="40"/>
      <c r="G71" s="40"/>
      <c r="H71" s="229"/>
      <c r="I71" s="40"/>
      <c r="J71" s="40"/>
      <c r="K71" s="40"/>
      <c r="L71" s="40"/>
      <c r="Q71" s="4"/>
      <c r="R71" s="4"/>
    </row>
    <row r="72" spans="1:18" x14ac:dyDescent="0.25">
      <c r="B72" s="190"/>
      <c r="C72" s="10"/>
      <c r="D72" s="197"/>
      <c r="E72" s="40"/>
      <c r="F72" s="40"/>
      <c r="G72" s="40"/>
      <c r="H72" s="229"/>
      <c r="I72" s="40"/>
      <c r="J72" s="40"/>
      <c r="K72" s="40"/>
      <c r="L72" s="40"/>
      <c r="Q72" s="4"/>
      <c r="R72" s="4"/>
    </row>
    <row r="73" spans="1:18" x14ac:dyDescent="0.25">
      <c r="B73" s="190"/>
      <c r="C73" s="10"/>
      <c r="D73" s="197"/>
      <c r="E73" s="40"/>
      <c r="F73" s="40"/>
      <c r="G73" s="40"/>
      <c r="H73" s="229"/>
      <c r="I73" s="40"/>
      <c r="J73" s="40"/>
      <c r="K73" s="40"/>
      <c r="L73" s="40"/>
      <c r="Q73" s="4"/>
      <c r="R73" s="4"/>
    </row>
    <row r="74" spans="1:18" x14ac:dyDescent="0.25">
      <c r="B74" s="190"/>
      <c r="C74" s="10"/>
      <c r="D74" s="197"/>
      <c r="E74" s="40"/>
      <c r="F74" s="40"/>
      <c r="G74" s="40"/>
      <c r="H74" s="229"/>
      <c r="I74" s="40"/>
      <c r="J74" s="40"/>
      <c r="K74" s="40"/>
      <c r="L74" s="40"/>
      <c r="Q74" s="4"/>
      <c r="R74" s="4"/>
    </row>
    <row r="75" spans="1:18" x14ac:dyDescent="0.25">
      <c r="B75" s="190"/>
      <c r="C75" s="10"/>
      <c r="D75" s="197"/>
      <c r="E75" s="40"/>
      <c r="F75" s="40"/>
      <c r="G75" s="40"/>
      <c r="H75" s="229"/>
      <c r="I75" s="40"/>
      <c r="J75" s="40"/>
      <c r="K75" s="40"/>
      <c r="L75" s="40"/>
      <c r="Q75" s="4"/>
      <c r="R75" s="4"/>
    </row>
    <row r="76" spans="1:18" x14ac:dyDescent="0.25">
      <c r="B76" s="190"/>
      <c r="C76" s="10"/>
      <c r="D76" s="197"/>
      <c r="E76" s="40"/>
      <c r="F76" s="40"/>
      <c r="G76" s="40"/>
      <c r="H76" s="229"/>
      <c r="I76" s="40"/>
      <c r="J76" s="40"/>
      <c r="K76" s="40"/>
      <c r="L76" s="40"/>
      <c r="Q76" s="4"/>
      <c r="R76" s="4"/>
    </row>
    <row r="77" spans="1:18" x14ac:dyDescent="0.25">
      <c r="B77" s="190"/>
      <c r="C77" s="10"/>
      <c r="D77" s="197"/>
      <c r="E77" s="40"/>
      <c r="F77" s="40"/>
      <c r="G77" s="40"/>
      <c r="H77" s="229"/>
      <c r="I77" s="40"/>
      <c r="J77" s="40"/>
      <c r="K77" s="40"/>
      <c r="L77" s="40"/>
      <c r="Q77" s="4"/>
      <c r="R77" s="4"/>
    </row>
    <row r="78" spans="1:18" x14ac:dyDescent="0.25">
      <c r="Q78" s="426"/>
      <c r="R78" s="426"/>
    </row>
    <row r="79" spans="1:18" x14ac:dyDescent="0.25">
      <c r="Q79" s="4"/>
      <c r="R79" s="4"/>
    </row>
    <row r="80" spans="1:18" x14ac:dyDescent="0.25">
      <c r="Q80" s="4"/>
      <c r="R80" s="4"/>
    </row>
    <row r="81" spans="2:18" x14ac:dyDescent="0.25">
      <c r="Q81" s="4"/>
      <c r="R81" s="4"/>
    </row>
    <row r="82" spans="2:18" x14ac:dyDescent="0.25">
      <c r="Q82" s="4"/>
      <c r="R82" s="4"/>
    </row>
    <row r="83" spans="2:18" x14ac:dyDescent="0.25">
      <c r="Q83" s="4"/>
      <c r="R83" s="4"/>
    </row>
    <row r="84" spans="2:18" x14ac:dyDescent="0.25">
      <c r="Q84" s="4"/>
      <c r="R84" s="4"/>
    </row>
    <row r="88" spans="2:18" x14ac:dyDescent="0.25">
      <c r="B88" s="499"/>
      <c r="C88" s="4"/>
      <c r="D88" s="4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2:18" x14ac:dyDescent="0.25">
      <c r="B89" s="188" t="s">
        <v>113</v>
      </c>
      <c r="C89" s="188" t="s">
        <v>146</v>
      </c>
      <c r="D89" s="189" t="s">
        <v>145</v>
      </c>
      <c r="E89" s="191" t="s">
        <v>147</v>
      </c>
      <c r="F89" s="192" t="s">
        <v>65</v>
      </c>
      <c r="G89" s="226" t="s">
        <v>151</v>
      </c>
      <c r="H89" s="192" t="s">
        <v>88</v>
      </c>
      <c r="I89" s="226" t="s">
        <v>154</v>
      </c>
      <c r="J89" s="226" t="s">
        <v>298</v>
      </c>
    </row>
    <row r="90" spans="2:18" x14ac:dyDescent="0.25">
      <c r="B90" s="548">
        <v>42304</v>
      </c>
      <c r="C90" s="553">
        <v>5100</v>
      </c>
      <c r="D90" s="600">
        <v>17.29</v>
      </c>
      <c r="E90" s="554">
        <v>16.68</v>
      </c>
      <c r="F90" s="554">
        <f t="shared" ref="F90:F127" si="55">-C90*(D90-E90)</f>
        <v>-3110.9999999999973</v>
      </c>
      <c r="G90" s="554">
        <f t="shared" ref="G90:G99" si="56">IF(C90=0, 0,D90*C90)</f>
        <v>88179</v>
      </c>
      <c r="H90" s="601">
        <f t="shared" ref="H90:H104" si="57">IF(C90=0, D90, (E90-D90)/D90)</f>
        <v>-3.5280508964719459E-2</v>
      </c>
      <c r="I90" s="554"/>
      <c r="J90" s="554"/>
    </row>
    <row r="91" spans="2:18" x14ac:dyDescent="0.25">
      <c r="B91" s="548">
        <v>42305</v>
      </c>
      <c r="C91" s="553">
        <v>4900</v>
      </c>
      <c r="D91" s="600">
        <v>17.29</v>
      </c>
      <c r="E91" s="554">
        <v>16.920000000000002</v>
      </c>
      <c r="F91" s="554">
        <f t="shared" si="55"/>
        <v>-1812.9999999999875</v>
      </c>
      <c r="G91" s="554">
        <f t="shared" si="56"/>
        <v>84721</v>
      </c>
      <c r="H91" s="601">
        <f t="shared" si="57"/>
        <v>-2.1399652978600199E-2</v>
      </c>
      <c r="I91" s="554"/>
      <c r="J91" s="554"/>
    </row>
    <row r="92" spans="2:18" x14ac:dyDescent="0.25">
      <c r="B92" s="548">
        <v>42306</v>
      </c>
      <c r="C92" s="553">
        <v>5100</v>
      </c>
      <c r="D92" s="600">
        <v>17.25</v>
      </c>
      <c r="E92" s="554">
        <v>16.21</v>
      </c>
      <c r="F92" s="554">
        <f t="shared" si="55"/>
        <v>-5303.9999999999955</v>
      </c>
      <c r="G92" s="554">
        <f t="shared" si="56"/>
        <v>87975</v>
      </c>
      <c r="H92" s="601">
        <f t="shared" si="57"/>
        <v>-6.0289855072463719E-2</v>
      </c>
      <c r="I92" s="554"/>
      <c r="J92" s="554"/>
    </row>
    <row r="93" spans="2:18" x14ac:dyDescent="0.25">
      <c r="B93" s="548">
        <v>42311</v>
      </c>
      <c r="C93" s="553">
        <v>2710</v>
      </c>
      <c r="D93" s="600">
        <v>16.989999999999998</v>
      </c>
      <c r="E93" s="554">
        <v>17.84</v>
      </c>
      <c r="F93" s="554">
        <f t="shared" si="55"/>
        <v>2303.5000000000036</v>
      </c>
      <c r="G93" s="554">
        <f t="shared" si="56"/>
        <v>46042.899999999994</v>
      </c>
      <c r="H93" s="601">
        <f t="shared" si="57"/>
        <v>5.0029429075927105E-2</v>
      </c>
      <c r="I93" s="554"/>
      <c r="J93" s="554"/>
    </row>
    <row r="94" spans="2:18" x14ac:dyDescent="0.25">
      <c r="B94" s="548">
        <v>42312</v>
      </c>
      <c r="C94" s="553">
        <v>2902</v>
      </c>
      <c r="D94" s="600">
        <v>16.989999999999998</v>
      </c>
      <c r="E94" s="554">
        <v>17.440000000000001</v>
      </c>
      <c r="F94" s="554">
        <f t="shared" si="55"/>
        <v>1305.9000000000083</v>
      </c>
      <c r="G94" s="554">
        <f t="shared" si="56"/>
        <v>49304.979999999996</v>
      </c>
      <c r="H94" s="601">
        <f t="shared" si="57"/>
        <v>2.6486168334314473E-2</v>
      </c>
      <c r="I94" s="554"/>
      <c r="J94" s="554"/>
    </row>
    <row r="95" spans="2:18" x14ac:dyDescent="0.25">
      <c r="B95" s="548">
        <v>42313</v>
      </c>
      <c r="C95" s="553">
        <v>5710</v>
      </c>
      <c r="D95" s="600">
        <v>16.91</v>
      </c>
      <c r="E95" s="554">
        <v>16.510000000000002</v>
      </c>
      <c r="F95" s="554">
        <f t="shared" si="55"/>
        <v>-2283.9999999999918</v>
      </c>
      <c r="G95" s="554">
        <f t="shared" si="56"/>
        <v>96556.1</v>
      </c>
      <c r="H95" s="601">
        <f t="shared" si="57"/>
        <v>-2.3654642223536283E-2</v>
      </c>
      <c r="I95" s="554"/>
      <c r="J95" s="554"/>
    </row>
    <row r="96" spans="2:18" x14ac:dyDescent="0.25">
      <c r="B96" s="548">
        <v>42314</v>
      </c>
      <c r="C96" s="553">
        <v>4710</v>
      </c>
      <c r="D96" s="600">
        <v>16.95</v>
      </c>
      <c r="E96" s="554">
        <v>16.45</v>
      </c>
      <c r="F96" s="554">
        <f t="shared" si="55"/>
        <v>-2355</v>
      </c>
      <c r="G96" s="554">
        <f t="shared" si="56"/>
        <v>79834.5</v>
      </c>
      <c r="H96" s="601">
        <f t="shared" si="57"/>
        <v>-2.9498525073746312E-2</v>
      </c>
      <c r="I96" s="554"/>
      <c r="J96" s="554"/>
    </row>
    <row r="97" spans="2:16" x14ac:dyDescent="0.25">
      <c r="B97" s="548">
        <v>42317</v>
      </c>
      <c r="C97" s="553">
        <v>5060</v>
      </c>
      <c r="D97" s="600">
        <v>16.87</v>
      </c>
      <c r="E97" s="554">
        <v>15.84</v>
      </c>
      <c r="F97" s="554">
        <f t="shared" si="55"/>
        <v>-5211.8000000000056</v>
      </c>
      <c r="G97" s="554">
        <f t="shared" si="56"/>
        <v>85362.200000000012</v>
      </c>
      <c r="H97" s="601">
        <f t="shared" si="57"/>
        <v>-6.1055127445169E-2</v>
      </c>
      <c r="I97" s="554"/>
      <c r="J97" s="554"/>
    </row>
    <row r="98" spans="2:16" x14ac:dyDescent="0.25">
      <c r="B98" s="548">
        <v>42324</v>
      </c>
      <c r="C98" s="553">
        <v>6000</v>
      </c>
      <c r="D98" s="600">
        <v>16.54</v>
      </c>
      <c r="E98" s="554">
        <v>14.89</v>
      </c>
      <c r="F98" s="554">
        <f t="shared" si="55"/>
        <v>-9899.9999999999909</v>
      </c>
      <c r="G98" s="554">
        <f t="shared" si="56"/>
        <v>99240</v>
      </c>
      <c r="H98" s="601">
        <f t="shared" si="57"/>
        <v>-9.9758162031438849E-2</v>
      </c>
      <c r="I98" s="554"/>
      <c r="J98" s="554"/>
    </row>
    <row r="99" spans="2:16" x14ac:dyDescent="0.25">
      <c r="B99" s="548">
        <v>42325</v>
      </c>
      <c r="C99" s="553">
        <v>5060</v>
      </c>
      <c r="D99" s="600">
        <v>16.73</v>
      </c>
      <c r="E99" s="554">
        <v>15.28</v>
      </c>
      <c r="F99" s="554">
        <f t="shared" si="55"/>
        <v>-7337.0000000000055</v>
      </c>
      <c r="G99" s="554">
        <f t="shared" si="56"/>
        <v>84653.8</v>
      </c>
      <c r="H99" s="601">
        <f t="shared" si="57"/>
        <v>-8.6670651524208067E-2</v>
      </c>
      <c r="I99" s="554"/>
      <c r="J99" s="554"/>
      <c r="O99" s="4"/>
      <c r="P99" s="237"/>
    </row>
    <row r="100" spans="2:16" x14ac:dyDescent="0.25">
      <c r="B100" s="548">
        <v>42328</v>
      </c>
      <c r="C100" s="553">
        <v>6000</v>
      </c>
      <c r="D100" s="600">
        <v>16.52</v>
      </c>
      <c r="E100" s="554">
        <v>15.39</v>
      </c>
      <c r="F100" s="554">
        <f t="shared" si="55"/>
        <v>-6779.9999999999936</v>
      </c>
      <c r="G100" s="554">
        <f t="shared" ref="G100:G127" si="58">IF(C100=0, 0,D100*C100)</f>
        <v>99120</v>
      </c>
      <c r="H100" s="601">
        <f t="shared" si="57"/>
        <v>-6.8401937046004779E-2</v>
      </c>
      <c r="I100" s="554"/>
      <c r="J100" s="554"/>
      <c r="O100" s="4"/>
      <c r="P100" s="4"/>
    </row>
    <row r="101" spans="2:16" x14ac:dyDescent="0.25">
      <c r="B101" s="548">
        <v>42331</v>
      </c>
      <c r="C101" s="553">
        <v>5060</v>
      </c>
      <c r="D101" s="600">
        <v>16.68</v>
      </c>
      <c r="E101" s="554">
        <v>15.32</v>
      </c>
      <c r="F101" s="554">
        <f t="shared" si="55"/>
        <v>-6881.5999999999967</v>
      </c>
      <c r="G101" s="554">
        <f t="shared" si="58"/>
        <v>84400.8</v>
      </c>
      <c r="H101" s="601">
        <f t="shared" si="57"/>
        <v>-8.1534772182254162E-2</v>
      </c>
      <c r="I101" s="554"/>
      <c r="J101" s="554"/>
      <c r="O101" s="4"/>
      <c r="P101" s="4"/>
    </row>
    <row r="102" spans="2:16" x14ac:dyDescent="0.25">
      <c r="B102" s="548">
        <v>42338</v>
      </c>
      <c r="C102" s="553">
        <v>4710</v>
      </c>
      <c r="D102" s="600">
        <v>16.73</v>
      </c>
      <c r="E102" s="554">
        <v>15.93</v>
      </c>
      <c r="F102" s="554">
        <f t="shared" si="55"/>
        <v>-3768.0000000000032</v>
      </c>
      <c r="G102" s="554">
        <f t="shared" si="58"/>
        <v>78798.3</v>
      </c>
      <c r="H102" s="601">
        <f t="shared" si="57"/>
        <v>-4.7818290496114808E-2</v>
      </c>
      <c r="I102" s="554"/>
      <c r="J102" s="554"/>
    </row>
    <row r="103" spans="2:16" x14ac:dyDescent="0.25">
      <c r="B103" s="548">
        <v>42340</v>
      </c>
      <c r="C103" s="553">
        <v>5060</v>
      </c>
      <c r="D103" s="600">
        <v>16.670000000000002</v>
      </c>
      <c r="E103" s="554">
        <v>15.82</v>
      </c>
      <c r="F103" s="554">
        <f t="shared" si="55"/>
        <v>-4301.0000000000073</v>
      </c>
      <c r="G103" s="554">
        <f t="shared" si="58"/>
        <v>84350.200000000012</v>
      </c>
      <c r="H103" s="601">
        <f t="shared" si="57"/>
        <v>-5.0989802039592164E-2</v>
      </c>
      <c r="I103" s="554"/>
      <c r="J103" s="554"/>
    </row>
    <row r="104" spans="2:16" x14ac:dyDescent="0.25">
      <c r="B104" s="548">
        <v>42341</v>
      </c>
      <c r="C104" s="553">
        <v>5060</v>
      </c>
      <c r="D104" s="600">
        <v>16.64</v>
      </c>
      <c r="E104" s="554">
        <v>15.61</v>
      </c>
      <c r="F104" s="554">
        <f t="shared" si="55"/>
        <v>-5211.8000000000056</v>
      </c>
      <c r="G104" s="554">
        <f t="shared" si="58"/>
        <v>84198.400000000009</v>
      </c>
      <c r="H104" s="601">
        <f t="shared" si="57"/>
        <v>-6.1899038461538526E-2</v>
      </c>
      <c r="I104" s="554"/>
      <c r="J104" s="554"/>
    </row>
    <row r="105" spans="2:16" x14ac:dyDescent="0.25">
      <c r="B105" s="548">
        <v>42347</v>
      </c>
      <c r="C105" s="553">
        <v>5260</v>
      </c>
      <c r="D105" s="600">
        <v>16.559999999999999</v>
      </c>
      <c r="E105" s="554">
        <v>14.32</v>
      </c>
      <c r="F105" s="554">
        <f t="shared" si="55"/>
        <v>-11782.399999999992</v>
      </c>
      <c r="G105" s="554">
        <f t="shared" si="58"/>
        <v>87105.599999999991</v>
      </c>
      <c r="H105" s="601">
        <f t="shared" ref="H105:H127" si="59">IF(C105=0, D105, (E105-D105)/D105)</f>
        <v>-0.13526570048309169</v>
      </c>
      <c r="I105" s="554"/>
      <c r="J105" s="554"/>
    </row>
    <row r="106" spans="2:16" x14ac:dyDescent="0.25">
      <c r="B106" s="548">
        <v>42348</v>
      </c>
      <c r="C106" s="553">
        <v>5060</v>
      </c>
      <c r="D106" s="600">
        <v>16.63</v>
      </c>
      <c r="E106" s="554">
        <v>14.66</v>
      </c>
      <c r="F106" s="554">
        <f t="shared" si="55"/>
        <v>-9968.1999999999935</v>
      </c>
      <c r="G106" s="554">
        <f t="shared" si="58"/>
        <v>84147.799999999988</v>
      </c>
      <c r="H106" s="601">
        <f t="shared" si="59"/>
        <v>-0.11846061334936855</v>
      </c>
      <c r="I106" s="554"/>
      <c r="J106" s="554"/>
    </row>
    <row r="107" spans="2:16" x14ac:dyDescent="0.25">
      <c r="B107" s="548">
        <v>42349</v>
      </c>
      <c r="C107" s="553">
        <v>5060</v>
      </c>
      <c r="D107" s="600">
        <v>16.62</v>
      </c>
      <c r="E107" s="554">
        <v>14.04</v>
      </c>
      <c r="F107" s="554">
        <f t="shared" si="55"/>
        <v>-13054.80000000001</v>
      </c>
      <c r="G107" s="554">
        <f t="shared" si="58"/>
        <v>84097.200000000012</v>
      </c>
      <c r="H107" s="601">
        <f t="shared" si="59"/>
        <v>-0.15523465703971129</v>
      </c>
      <c r="I107" s="554"/>
      <c r="J107" s="554"/>
    </row>
    <row r="108" spans="2:16" x14ac:dyDescent="0.25">
      <c r="B108" s="548">
        <v>42349</v>
      </c>
      <c r="C108" s="553">
        <v>6000</v>
      </c>
      <c r="D108" s="600">
        <v>16.22</v>
      </c>
      <c r="E108" s="554">
        <v>14.04</v>
      </c>
      <c r="F108" s="554">
        <f t="shared" si="55"/>
        <v>-13079.999999999998</v>
      </c>
      <c r="G108" s="554">
        <f t="shared" si="58"/>
        <v>97320</v>
      </c>
      <c r="H108" s="601">
        <f t="shared" si="59"/>
        <v>-0.13440197287299629</v>
      </c>
      <c r="I108" s="554"/>
      <c r="J108" s="554"/>
    </row>
    <row r="109" spans="2:16" x14ac:dyDescent="0.25">
      <c r="B109" s="548">
        <v>42349</v>
      </c>
      <c r="C109" s="553">
        <v>6200</v>
      </c>
      <c r="D109" s="600">
        <v>16.14</v>
      </c>
      <c r="E109" s="554">
        <v>14.04</v>
      </c>
      <c r="F109" s="554">
        <f t="shared" si="55"/>
        <v>-13020.000000000009</v>
      </c>
      <c r="G109" s="554">
        <f t="shared" si="58"/>
        <v>100068</v>
      </c>
      <c r="H109" s="601">
        <f t="shared" si="59"/>
        <v>-0.13011152416356886</v>
      </c>
      <c r="I109" s="554"/>
      <c r="J109" s="554"/>
    </row>
    <row r="110" spans="2:16" x14ac:dyDescent="0.25">
      <c r="B110" s="548">
        <v>42349</v>
      </c>
      <c r="C110" s="553">
        <v>5721</v>
      </c>
      <c r="D110" s="600">
        <v>16.32</v>
      </c>
      <c r="E110" s="554">
        <v>14.04</v>
      </c>
      <c r="F110" s="554">
        <f t="shared" si="55"/>
        <v>-13043.880000000006</v>
      </c>
      <c r="G110" s="554">
        <f t="shared" si="58"/>
        <v>93366.720000000001</v>
      </c>
      <c r="H110" s="601">
        <f t="shared" si="59"/>
        <v>-0.13970588235294124</v>
      </c>
      <c r="I110" s="554"/>
      <c r="J110" s="554"/>
    </row>
    <row r="111" spans="2:16" x14ac:dyDescent="0.25">
      <c r="B111" s="548">
        <v>42349</v>
      </c>
      <c r="C111" s="553">
        <v>5060</v>
      </c>
      <c r="D111" s="600">
        <v>16.6143</v>
      </c>
      <c r="E111" s="554">
        <v>14.04</v>
      </c>
      <c r="F111" s="554">
        <f t="shared" si="55"/>
        <v>-13025.958000000004</v>
      </c>
      <c r="G111" s="554">
        <f t="shared" si="58"/>
        <v>84068.358000000007</v>
      </c>
      <c r="H111" s="601">
        <f t="shared" si="59"/>
        <v>-0.15494483667683867</v>
      </c>
      <c r="I111" s="554"/>
      <c r="J111" s="554"/>
    </row>
    <row r="112" spans="2:16" x14ac:dyDescent="0.25">
      <c r="B112" s="548">
        <v>42356</v>
      </c>
      <c r="C112" s="553">
        <v>5060</v>
      </c>
      <c r="D112" s="600">
        <v>16.596900000000002</v>
      </c>
      <c r="E112" s="554">
        <v>14.32</v>
      </c>
      <c r="F112" s="554">
        <f t="shared" si="55"/>
        <v>-11521.114000000007</v>
      </c>
      <c r="G112" s="554">
        <f t="shared" si="58"/>
        <v>83980.314000000013</v>
      </c>
      <c r="H112" s="601">
        <f t="shared" si="59"/>
        <v>-0.13718827009863294</v>
      </c>
      <c r="I112" s="554"/>
      <c r="J112" s="554"/>
    </row>
    <row r="113" spans="2:10" x14ac:dyDescent="0.25">
      <c r="B113" s="548">
        <v>42356</v>
      </c>
      <c r="C113" s="553">
        <v>7000</v>
      </c>
      <c r="D113" s="600">
        <v>15.97</v>
      </c>
      <c r="E113" s="554">
        <v>14.34</v>
      </c>
      <c r="F113" s="554">
        <f t="shared" si="55"/>
        <v>-11410.000000000005</v>
      </c>
      <c r="G113" s="554">
        <f t="shared" si="58"/>
        <v>111790</v>
      </c>
      <c r="H113" s="601">
        <f t="shared" si="59"/>
        <v>-0.10206637445209772</v>
      </c>
      <c r="I113" s="554"/>
      <c r="J113" s="554"/>
    </row>
    <row r="114" spans="2:10" x14ac:dyDescent="0.25">
      <c r="B114" s="548">
        <v>42356</v>
      </c>
      <c r="C114" s="553">
        <v>6000</v>
      </c>
      <c r="D114" s="600">
        <v>16.23</v>
      </c>
      <c r="E114" s="554">
        <v>14.36</v>
      </c>
      <c r="F114" s="554">
        <f t="shared" si="55"/>
        <v>-11220.000000000005</v>
      </c>
      <c r="G114" s="554">
        <f t="shared" si="58"/>
        <v>97380</v>
      </c>
      <c r="H114" s="601">
        <f t="shared" si="59"/>
        <v>-0.11521873074553302</v>
      </c>
      <c r="I114" s="554"/>
      <c r="J114" s="554"/>
    </row>
    <row r="115" spans="2:10" x14ac:dyDescent="0.25">
      <c r="B115" s="548">
        <v>42357</v>
      </c>
      <c r="C115" s="553">
        <v>5500</v>
      </c>
      <c r="D115" s="600">
        <v>16.398399999999999</v>
      </c>
      <c r="E115" s="554">
        <v>14.36</v>
      </c>
      <c r="F115" s="554">
        <f t="shared" si="55"/>
        <v>-11211.199999999997</v>
      </c>
      <c r="G115" s="554">
        <f t="shared" si="58"/>
        <v>90191.2</v>
      </c>
      <c r="H115" s="601">
        <f t="shared" si="59"/>
        <v>-0.12430481022538781</v>
      </c>
      <c r="I115" s="554"/>
      <c r="J115" s="554"/>
    </row>
    <row r="116" spans="2:10" x14ac:dyDescent="0.25">
      <c r="B116" s="548">
        <v>42359</v>
      </c>
      <c r="C116" s="553">
        <v>5060</v>
      </c>
      <c r="D116" s="600">
        <v>16.55</v>
      </c>
      <c r="E116" s="554">
        <v>14.64</v>
      </c>
      <c r="F116" s="554">
        <f t="shared" si="55"/>
        <v>-9664.6</v>
      </c>
      <c r="G116" s="554">
        <f t="shared" si="58"/>
        <v>83743</v>
      </c>
      <c r="H116" s="601">
        <f t="shared" si="59"/>
        <v>-0.11540785498489427</v>
      </c>
      <c r="I116" s="554"/>
      <c r="J116" s="554"/>
    </row>
    <row r="117" spans="2:10" x14ac:dyDescent="0.25">
      <c r="B117" s="548">
        <v>42361</v>
      </c>
      <c r="C117" s="553">
        <v>5060</v>
      </c>
      <c r="D117" s="600">
        <v>16.5456</v>
      </c>
      <c r="E117" s="554">
        <v>14.61</v>
      </c>
      <c r="F117" s="554">
        <f t="shared" si="55"/>
        <v>-9794.1360000000041</v>
      </c>
      <c r="G117" s="554">
        <f t="shared" si="58"/>
        <v>83720.736000000004</v>
      </c>
      <c r="H117" s="601">
        <f t="shared" si="59"/>
        <v>-0.11698578474035398</v>
      </c>
      <c r="I117" s="554"/>
      <c r="J117" s="554"/>
    </row>
    <row r="118" spans="2:10" x14ac:dyDescent="0.25">
      <c r="B118" s="548">
        <v>42377</v>
      </c>
      <c r="C118" s="553">
        <v>5260</v>
      </c>
      <c r="D118" s="600">
        <v>16.424099999999999</v>
      </c>
      <c r="E118" s="554">
        <v>13.33</v>
      </c>
      <c r="F118" s="554">
        <f t="shared" si="55"/>
        <v>-16274.965999999995</v>
      </c>
      <c r="G118" s="554">
        <f t="shared" si="58"/>
        <v>86390.766000000003</v>
      </c>
      <c r="H118" s="601">
        <f t="shared" si="59"/>
        <v>-0.18838779598273264</v>
      </c>
      <c r="I118" s="554"/>
      <c r="J118" s="554"/>
    </row>
    <row r="119" spans="2:10" x14ac:dyDescent="0.25">
      <c r="B119" s="548">
        <v>42398</v>
      </c>
      <c r="C119" s="553">
        <v>5000</v>
      </c>
      <c r="D119" s="600">
        <v>16.72</v>
      </c>
      <c r="E119" s="554">
        <v>10.74</v>
      </c>
      <c r="F119" s="554">
        <f t="shared" si="55"/>
        <v>-29899.999999999993</v>
      </c>
      <c r="G119" s="554">
        <f t="shared" si="58"/>
        <v>83600</v>
      </c>
      <c r="H119" s="601">
        <f t="shared" si="59"/>
        <v>-0.35765550239234445</v>
      </c>
      <c r="I119" s="554"/>
      <c r="J119" s="554"/>
    </row>
    <row r="120" spans="2:10" x14ac:dyDescent="0.25">
      <c r="B120" s="548">
        <v>42401</v>
      </c>
      <c r="C120" s="553">
        <v>5260</v>
      </c>
      <c r="D120" s="600">
        <v>16.419699999999999</v>
      </c>
      <c r="E120" s="554">
        <v>10.96</v>
      </c>
      <c r="F120" s="554">
        <f t="shared" si="55"/>
        <v>-28718.02199999999</v>
      </c>
      <c r="G120" s="554">
        <f t="shared" si="58"/>
        <v>86367.621999999988</v>
      </c>
      <c r="H120" s="601">
        <f t="shared" si="59"/>
        <v>-0.33250912014226802</v>
      </c>
      <c r="I120" s="554"/>
      <c r="J120" s="554"/>
    </row>
    <row r="121" spans="2:10" x14ac:dyDescent="0.25">
      <c r="B121" s="548">
        <v>42416</v>
      </c>
      <c r="C121" s="553">
        <v>4760</v>
      </c>
      <c r="D121" s="600">
        <v>17.02</v>
      </c>
      <c r="E121" s="554">
        <v>10.65</v>
      </c>
      <c r="F121" s="554">
        <f t="shared" si="55"/>
        <v>-30321.199999999997</v>
      </c>
      <c r="G121" s="554">
        <f t="shared" si="58"/>
        <v>81015.199999999997</v>
      </c>
      <c r="H121" s="601">
        <f t="shared" si="59"/>
        <v>-0.37426556991774379</v>
      </c>
      <c r="I121" s="554"/>
      <c r="J121" s="554"/>
    </row>
    <row r="122" spans="2:10" x14ac:dyDescent="0.25">
      <c r="B122" s="548">
        <v>42416</v>
      </c>
      <c r="C122" s="553">
        <v>4000</v>
      </c>
      <c r="D122" s="600">
        <v>18.1967</v>
      </c>
      <c r="E122" s="554">
        <v>10.744999999999999</v>
      </c>
      <c r="F122" s="554">
        <f t="shared" si="55"/>
        <v>-29806.800000000003</v>
      </c>
      <c r="G122" s="554">
        <f t="shared" si="58"/>
        <v>72786.8</v>
      </c>
      <c r="H122" s="601">
        <f t="shared" si="59"/>
        <v>-0.40950831744217364</v>
      </c>
      <c r="I122" s="554"/>
      <c r="J122" s="554"/>
    </row>
    <row r="123" spans="2:10" x14ac:dyDescent="0.25">
      <c r="B123" s="548">
        <v>42418</v>
      </c>
      <c r="C123" s="553">
        <v>3600</v>
      </c>
      <c r="D123" s="600">
        <v>18.931999999999999</v>
      </c>
      <c r="E123" s="554">
        <v>10.81</v>
      </c>
      <c r="F123" s="554">
        <f t="shared" si="55"/>
        <v>-29239.199999999993</v>
      </c>
      <c r="G123" s="554">
        <f t="shared" si="58"/>
        <v>68155.199999999997</v>
      </c>
      <c r="H123" s="601">
        <f t="shared" si="59"/>
        <v>-0.42900908514684127</v>
      </c>
      <c r="I123" s="554"/>
      <c r="J123" s="554"/>
    </row>
    <row r="124" spans="2:10" x14ac:dyDescent="0.25">
      <c r="B124" s="548">
        <v>42423</v>
      </c>
      <c r="C124" s="553">
        <v>5260</v>
      </c>
      <c r="D124" s="600">
        <v>16.356200000000001</v>
      </c>
      <c r="E124" s="554">
        <v>10.49</v>
      </c>
      <c r="F124" s="554">
        <f t="shared" si="55"/>
        <v>-30856.212000000007</v>
      </c>
      <c r="G124" s="554">
        <f t="shared" si="58"/>
        <v>86033.612000000008</v>
      </c>
      <c r="H124" s="601">
        <f t="shared" si="59"/>
        <v>-0.35865298785781541</v>
      </c>
      <c r="I124" s="554"/>
      <c r="J124" s="554"/>
    </row>
    <row r="125" spans="2:10" x14ac:dyDescent="0.25">
      <c r="B125" s="548">
        <v>42431</v>
      </c>
      <c r="C125" s="553">
        <v>4760</v>
      </c>
      <c r="D125" s="600">
        <v>16.858899999999998</v>
      </c>
      <c r="E125" s="554">
        <v>11.68</v>
      </c>
      <c r="F125" s="554">
        <f t="shared" si="55"/>
        <v>-24651.563999999995</v>
      </c>
      <c r="G125" s="554">
        <f t="shared" si="58"/>
        <v>80248.363999999987</v>
      </c>
      <c r="H125" s="601">
        <f t="shared" si="59"/>
        <v>-0.30719086061368173</v>
      </c>
      <c r="I125" s="554"/>
      <c r="J125" s="554"/>
    </row>
    <row r="126" spans="2:10" x14ac:dyDescent="0.25">
      <c r="B126" s="548">
        <v>42436</v>
      </c>
      <c r="C126" s="553">
        <v>5290</v>
      </c>
      <c r="D126" s="600">
        <v>16.258900000000001</v>
      </c>
      <c r="E126" s="554">
        <v>11.58</v>
      </c>
      <c r="F126" s="554">
        <f t="shared" si="55"/>
        <v>-24751.381000000001</v>
      </c>
      <c r="G126" s="554">
        <f t="shared" si="58"/>
        <v>86009.581000000006</v>
      </c>
      <c r="H126" s="601">
        <f t="shared" si="59"/>
        <v>-0.28777469570512154</v>
      </c>
      <c r="I126" s="554"/>
      <c r="J126" s="554"/>
    </row>
    <row r="127" spans="2:10" x14ac:dyDescent="0.25">
      <c r="B127" s="548">
        <v>42444</v>
      </c>
      <c r="C127" s="553">
        <v>5290</v>
      </c>
      <c r="D127" s="600">
        <v>16.259</v>
      </c>
      <c r="E127" s="554">
        <v>10.85</v>
      </c>
      <c r="F127" s="554">
        <f t="shared" si="55"/>
        <v>-28613.610000000004</v>
      </c>
      <c r="G127" s="554">
        <f t="shared" si="58"/>
        <v>86010.11</v>
      </c>
      <c r="H127" s="601">
        <f t="shared" si="59"/>
        <v>-0.33267728642597949</v>
      </c>
      <c r="I127" s="554"/>
      <c r="J127" s="554"/>
    </row>
    <row r="128" spans="2:10" x14ac:dyDescent="0.25">
      <c r="B128" s="548">
        <v>42446</v>
      </c>
      <c r="C128" s="553">
        <v>5295</v>
      </c>
      <c r="D128" s="600">
        <v>16.2348</v>
      </c>
      <c r="E128" s="554">
        <v>10.87</v>
      </c>
      <c r="F128" s="554">
        <f t="shared" ref="F128:F166" si="60">-C128*(D128-E128)</f>
        <v>-28406.616000000002</v>
      </c>
      <c r="G128" s="554">
        <f t="shared" ref="G128:G166" si="61">IF(C128=0, 0,D128*C128)</f>
        <v>85963.266000000003</v>
      </c>
      <c r="H128" s="601">
        <f t="shared" ref="H128:H166" si="62">IF(C128=0, D128, (E128-D128)/D128)</f>
        <v>-0.33045063690344201</v>
      </c>
      <c r="I128" s="554"/>
      <c r="J128" s="554"/>
    </row>
    <row r="129" spans="2:10" x14ac:dyDescent="0.25">
      <c r="B129" s="548">
        <v>42447</v>
      </c>
      <c r="C129" s="553">
        <v>5300</v>
      </c>
      <c r="D129" s="600">
        <v>16.211200000000002</v>
      </c>
      <c r="E129" s="554">
        <v>11.07</v>
      </c>
      <c r="F129" s="554">
        <f t="shared" si="60"/>
        <v>-27248.360000000008</v>
      </c>
      <c r="G129" s="554">
        <f t="shared" si="61"/>
        <v>85919.360000000015</v>
      </c>
      <c r="H129" s="601">
        <f t="shared" si="62"/>
        <v>-0.31713876825898152</v>
      </c>
      <c r="I129" s="554"/>
      <c r="J129" s="554"/>
    </row>
    <row r="130" spans="2:10" x14ac:dyDescent="0.25">
      <c r="B130" s="548">
        <v>42447</v>
      </c>
      <c r="C130" s="553">
        <v>5155</v>
      </c>
      <c r="D130" s="600">
        <v>16.352699999999999</v>
      </c>
      <c r="E130" s="554">
        <v>11.14</v>
      </c>
      <c r="F130" s="554">
        <f t="shared" si="60"/>
        <v>-26871.468499999992</v>
      </c>
      <c r="G130" s="554">
        <f t="shared" si="61"/>
        <v>84298.1685</v>
      </c>
      <c r="H130" s="601">
        <f t="shared" si="62"/>
        <v>-0.31876693145474438</v>
      </c>
      <c r="I130" s="554"/>
      <c r="J130" s="554"/>
    </row>
    <row r="131" spans="2:10" x14ac:dyDescent="0.25">
      <c r="B131" s="548">
        <v>42450</v>
      </c>
      <c r="C131" s="553">
        <v>3955</v>
      </c>
      <c r="D131" s="600">
        <v>17.7959</v>
      </c>
      <c r="E131" s="554">
        <v>11.54</v>
      </c>
      <c r="F131" s="554">
        <f t="shared" si="60"/>
        <v>-24742.084500000001</v>
      </c>
      <c r="G131" s="554">
        <f t="shared" si="61"/>
        <v>70382.784499999994</v>
      </c>
      <c r="H131" s="601">
        <f t="shared" si="62"/>
        <v>-0.3515360279614968</v>
      </c>
      <c r="I131" s="554"/>
      <c r="J131" s="554"/>
    </row>
    <row r="132" spans="2:10" x14ac:dyDescent="0.25">
      <c r="B132" s="548">
        <v>42451</v>
      </c>
      <c r="C132" s="553">
        <v>5260</v>
      </c>
      <c r="D132" s="600">
        <v>16.2089</v>
      </c>
      <c r="E132" s="554">
        <v>11.44</v>
      </c>
      <c r="F132" s="554">
        <f t="shared" si="60"/>
        <v>-25084.414000000001</v>
      </c>
      <c r="G132" s="554">
        <f t="shared" si="61"/>
        <v>85258.813999999998</v>
      </c>
      <c r="H132" s="601">
        <f t="shared" si="62"/>
        <v>-0.29421490662537253</v>
      </c>
      <c r="I132" s="602"/>
      <c r="J132" s="602"/>
    </row>
    <row r="133" spans="2:10" x14ac:dyDescent="0.25">
      <c r="B133" s="548">
        <v>42451</v>
      </c>
      <c r="C133" s="553">
        <v>5360</v>
      </c>
      <c r="D133" s="600">
        <v>16.1083</v>
      </c>
      <c r="E133" s="554">
        <v>10.65</v>
      </c>
      <c r="F133" s="554">
        <f t="shared" si="60"/>
        <v>-29256.487999999998</v>
      </c>
      <c r="G133" s="554">
        <f t="shared" si="61"/>
        <v>86340.487999999998</v>
      </c>
      <c r="H133" s="601">
        <f t="shared" si="62"/>
        <v>-0.33885015799308427</v>
      </c>
      <c r="I133" s="602"/>
      <c r="J133" s="602"/>
    </row>
    <row r="134" spans="2:10" x14ac:dyDescent="0.25">
      <c r="B134" s="548">
        <v>42461</v>
      </c>
      <c r="C134" s="553">
        <v>5260</v>
      </c>
      <c r="D134" s="600">
        <v>16.207000000000001</v>
      </c>
      <c r="E134" s="554">
        <v>10.92</v>
      </c>
      <c r="F134" s="554">
        <f t="shared" si="60"/>
        <v>-27809.620000000003</v>
      </c>
      <c r="G134" s="554">
        <f t="shared" si="61"/>
        <v>85248.82</v>
      </c>
      <c r="H134" s="601">
        <f t="shared" si="62"/>
        <v>-0.32621706669957429</v>
      </c>
      <c r="I134" s="554"/>
      <c r="J134" s="554"/>
    </row>
    <row r="135" spans="2:10" x14ac:dyDescent="0.25">
      <c r="B135" s="548">
        <v>42465</v>
      </c>
      <c r="C135" s="553">
        <v>5260</v>
      </c>
      <c r="D135" s="600">
        <v>16.207000000000001</v>
      </c>
      <c r="E135" s="554">
        <v>10.4</v>
      </c>
      <c r="F135" s="554">
        <f t="shared" si="60"/>
        <v>-30544.820000000003</v>
      </c>
      <c r="G135" s="554">
        <f t="shared" si="61"/>
        <v>85248.82</v>
      </c>
      <c r="H135" s="601">
        <f t="shared" si="62"/>
        <v>-0.3583019682853088</v>
      </c>
      <c r="I135" s="554"/>
      <c r="J135" s="554"/>
    </row>
    <row r="136" spans="2:10" x14ac:dyDescent="0.25">
      <c r="B136" s="548">
        <v>42467</v>
      </c>
      <c r="C136" s="553">
        <v>5760</v>
      </c>
      <c r="D136" s="600">
        <v>15.703799999999999</v>
      </c>
      <c r="E136" s="554">
        <v>10.4</v>
      </c>
      <c r="F136" s="554">
        <f t="shared" si="60"/>
        <v>-30549.887999999995</v>
      </c>
      <c r="G136" s="554">
        <f t="shared" si="61"/>
        <v>90453.887999999992</v>
      </c>
      <c r="H136" s="601">
        <f t="shared" si="62"/>
        <v>-0.33773991008545695</v>
      </c>
      <c r="I136" s="554"/>
      <c r="J136" s="554"/>
    </row>
    <row r="137" spans="2:10" x14ac:dyDescent="0.25">
      <c r="B137" s="548">
        <v>42468</v>
      </c>
      <c r="C137" s="553">
        <v>5260</v>
      </c>
      <c r="D137" s="600">
        <v>16.167100000000001</v>
      </c>
      <c r="E137" s="554">
        <v>10.76</v>
      </c>
      <c r="F137" s="554">
        <f t="shared" si="60"/>
        <v>-28441.346000000009</v>
      </c>
      <c r="G137" s="554">
        <f t="shared" si="61"/>
        <v>85038.946000000011</v>
      </c>
      <c r="H137" s="601">
        <f t="shared" si="62"/>
        <v>-0.33445082915303309</v>
      </c>
      <c r="I137" s="602" t="s">
        <v>193</v>
      </c>
      <c r="J137" s="602"/>
    </row>
    <row r="138" spans="2:10" x14ac:dyDescent="0.25">
      <c r="B138" s="548">
        <v>42472</v>
      </c>
      <c r="C138" s="553">
        <v>5860</v>
      </c>
      <c r="D138" s="600">
        <v>15.567399999999999</v>
      </c>
      <c r="E138" s="554">
        <v>10.17</v>
      </c>
      <c r="F138" s="554">
        <f t="shared" si="60"/>
        <v>-31628.763999999996</v>
      </c>
      <c r="G138" s="554">
        <f t="shared" si="61"/>
        <v>91224.963999999993</v>
      </c>
      <c r="H138" s="601">
        <f t="shared" si="62"/>
        <v>-0.34671171807752094</v>
      </c>
      <c r="I138" s="554"/>
      <c r="J138" s="554"/>
    </row>
    <row r="139" spans="2:10" x14ac:dyDescent="0.25">
      <c r="B139" s="548">
        <v>42473</v>
      </c>
      <c r="C139" s="553">
        <v>5260</v>
      </c>
      <c r="D139" s="600">
        <v>16.1158</v>
      </c>
      <c r="E139" s="554">
        <v>10.88</v>
      </c>
      <c r="F139" s="554">
        <f t="shared" si="60"/>
        <v>-27540.307999999997</v>
      </c>
      <c r="G139" s="554">
        <f t="shared" si="61"/>
        <v>84769.108000000007</v>
      </c>
      <c r="H139" s="601">
        <f t="shared" si="62"/>
        <v>-0.32488613658645549</v>
      </c>
      <c r="I139" s="554"/>
      <c r="J139" s="554"/>
    </row>
    <row r="140" spans="2:10" x14ac:dyDescent="0.25">
      <c r="B140" s="548">
        <v>42484</v>
      </c>
      <c r="C140" s="553">
        <v>5260</v>
      </c>
      <c r="D140" s="600">
        <v>16.1158</v>
      </c>
      <c r="E140" s="554">
        <v>10.66</v>
      </c>
      <c r="F140" s="554">
        <f t="shared" si="60"/>
        <v>-28697.508000000002</v>
      </c>
      <c r="G140" s="554">
        <f t="shared" si="61"/>
        <v>84769.108000000007</v>
      </c>
      <c r="H140" s="601">
        <f t="shared" si="62"/>
        <v>-0.33853733603047942</v>
      </c>
      <c r="I140" s="554"/>
      <c r="J140" s="554"/>
    </row>
    <row r="141" spans="2:10" x14ac:dyDescent="0.25">
      <c r="B141" s="548">
        <v>42486</v>
      </c>
      <c r="C141" s="553">
        <v>4260</v>
      </c>
      <c r="D141" s="600">
        <v>17.2287</v>
      </c>
      <c r="E141" s="554">
        <v>11.51</v>
      </c>
      <c r="F141" s="554">
        <f t="shared" si="60"/>
        <v>-24361.662</v>
      </c>
      <c r="G141" s="554">
        <f t="shared" si="61"/>
        <v>73394.262000000002</v>
      </c>
      <c r="H141" s="601">
        <f t="shared" si="62"/>
        <v>-0.33192870036624933</v>
      </c>
      <c r="I141" s="554"/>
      <c r="J141" s="554"/>
    </row>
    <row r="142" spans="2:10" x14ac:dyDescent="0.25">
      <c r="B142" s="548">
        <v>42487</v>
      </c>
      <c r="C142" s="553">
        <v>5260</v>
      </c>
      <c r="D142" s="600">
        <v>16.099699999999999</v>
      </c>
      <c r="E142" s="554">
        <v>11.56</v>
      </c>
      <c r="F142" s="554">
        <f t="shared" si="60"/>
        <v>-23878.821999999989</v>
      </c>
      <c r="G142" s="554">
        <f t="shared" si="61"/>
        <v>84684.421999999991</v>
      </c>
      <c r="H142" s="601">
        <f t="shared" si="62"/>
        <v>-0.28197419827698644</v>
      </c>
      <c r="I142" s="554"/>
      <c r="J142" s="554"/>
    </row>
    <row r="143" spans="2:10" x14ac:dyDescent="0.25">
      <c r="B143" s="548">
        <v>42488</v>
      </c>
      <c r="C143" s="553">
        <v>5260</v>
      </c>
      <c r="D143" s="600">
        <v>16.078399999999998</v>
      </c>
      <c r="E143" s="554">
        <v>11.62</v>
      </c>
      <c r="F143" s="554">
        <f t="shared" si="60"/>
        <v>-23451.183999999997</v>
      </c>
      <c r="G143" s="554">
        <f t="shared" si="61"/>
        <v>84572.383999999991</v>
      </c>
      <c r="H143" s="601">
        <f t="shared" si="62"/>
        <v>-0.27729127276345905</v>
      </c>
      <c r="I143" s="554"/>
      <c r="J143" s="554"/>
    </row>
    <row r="144" spans="2:10" x14ac:dyDescent="0.25">
      <c r="B144" s="548">
        <v>42489</v>
      </c>
      <c r="C144" s="553">
        <v>5500</v>
      </c>
      <c r="D144" s="600">
        <v>15.848599999999999</v>
      </c>
      <c r="E144" s="554">
        <v>10.75</v>
      </c>
      <c r="F144" s="554">
        <f t="shared" si="60"/>
        <v>-28042.299999999996</v>
      </c>
      <c r="G144" s="554">
        <f t="shared" si="61"/>
        <v>87167.3</v>
      </c>
      <c r="H144" s="601">
        <f t="shared" si="62"/>
        <v>-0.32170664916774983</v>
      </c>
      <c r="I144" s="554"/>
      <c r="J144" s="554"/>
    </row>
    <row r="145" spans="2:10" x14ac:dyDescent="0.25">
      <c r="B145" s="548">
        <v>42494</v>
      </c>
      <c r="C145" s="553">
        <v>6500</v>
      </c>
      <c r="D145" s="600">
        <v>14.9526</v>
      </c>
      <c r="E145" s="554">
        <v>10</v>
      </c>
      <c r="F145" s="554">
        <f t="shared" si="60"/>
        <v>-32191.9</v>
      </c>
      <c r="G145" s="554">
        <f t="shared" si="61"/>
        <v>97191.900000000009</v>
      </c>
      <c r="H145" s="601">
        <f t="shared" si="62"/>
        <v>-0.33121998849698381</v>
      </c>
      <c r="I145" s="554"/>
      <c r="J145" s="554"/>
    </row>
    <row r="146" spans="2:10" x14ac:dyDescent="0.25">
      <c r="B146" s="548">
        <v>42495</v>
      </c>
      <c r="C146" s="553">
        <v>5500</v>
      </c>
      <c r="D146" s="600">
        <v>15.7966</v>
      </c>
      <c r="E146" s="554">
        <v>10.06</v>
      </c>
      <c r="F146" s="554">
        <f t="shared" si="60"/>
        <v>-31551.299999999996</v>
      </c>
      <c r="G146" s="554">
        <f t="shared" si="61"/>
        <v>86881.3</v>
      </c>
      <c r="H146" s="601">
        <f t="shared" si="62"/>
        <v>-0.363154096451135</v>
      </c>
      <c r="I146" s="554"/>
      <c r="J146" s="554"/>
    </row>
    <row r="147" spans="2:10" x14ac:dyDescent="0.25">
      <c r="B147" s="548">
        <v>42502</v>
      </c>
      <c r="C147" s="553">
        <v>8500</v>
      </c>
      <c r="D147" s="600">
        <v>13.6378</v>
      </c>
      <c r="E147" s="554">
        <v>9.6199999999999992</v>
      </c>
      <c r="F147" s="554">
        <f t="shared" si="60"/>
        <v>-34151.30000000001</v>
      </c>
      <c r="G147" s="554">
        <f t="shared" si="61"/>
        <v>115921.3</v>
      </c>
      <c r="H147" s="601">
        <f t="shared" si="62"/>
        <v>-0.2946076346624823</v>
      </c>
      <c r="I147" s="554"/>
      <c r="J147" s="554"/>
    </row>
    <row r="148" spans="2:10" x14ac:dyDescent="0.25">
      <c r="B148" s="548">
        <v>42503</v>
      </c>
      <c r="C148" s="553">
        <v>5500</v>
      </c>
      <c r="D148" s="600">
        <v>15.754899999999999</v>
      </c>
      <c r="E148" s="554">
        <v>9.58</v>
      </c>
      <c r="F148" s="554">
        <f t="shared" si="60"/>
        <v>-33961.949999999997</v>
      </c>
      <c r="G148" s="554">
        <f t="shared" si="61"/>
        <v>86651.95</v>
      </c>
      <c r="H148" s="601">
        <f t="shared" si="62"/>
        <v>-0.39193520745926663</v>
      </c>
      <c r="I148" s="554"/>
      <c r="J148" s="554"/>
    </row>
    <row r="149" spans="2:10" x14ac:dyDescent="0.25">
      <c r="B149" s="548">
        <v>42510</v>
      </c>
      <c r="C149" s="603">
        <v>5000</v>
      </c>
      <c r="D149" s="604">
        <v>16.255400000000002</v>
      </c>
      <c r="E149" s="554">
        <v>10.8</v>
      </c>
      <c r="F149" s="554">
        <f t="shared" si="60"/>
        <v>-27277.000000000004</v>
      </c>
      <c r="G149" s="554">
        <f t="shared" si="61"/>
        <v>81277.000000000015</v>
      </c>
      <c r="H149" s="601">
        <f t="shared" si="62"/>
        <v>-0.33560539882131479</v>
      </c>
      <c r="I149" s="554"/>
      <c r="J149" s="554"/>
    </row>
    <row r="150" spans="2:10" x14ac:dyDescent="0.25">
      <c r="B150" s="548">
        <v>42514</v>
      </c>
      <c r="C150" s="553">
        <v>4500</v>
      </c>
      <c r="D150" s="600">
        <v>16.752199999999998</v>
      </c>
      <c r="E150" s="554">
        <v>11.49</v>
      </c>
      <c r="F150" s="554">
        <f t="shared" si="60"/>
        <v>-23679.899999999991</v>
      </c>
      <c r="G150" s="554">
        <f t="shared" si="61"/>
        <v>75384.899999999994</v>
      </c>
      <c r="H150" s="601">
        <f t="shared" si="62"/>
        <v>-0.31411993648595399</v>
      </c>
      <c r="I150" s="554"/>
      <c r="J150" s="554"/>
    </row>
    <row r="151" spans="2:10" x14ac:dyDescent="0.25">
      <c r="B151" s="548">
        <v>42515</v>
      </c>
      <c r="C151" s="553">
        <v>4500</v>
      </c>
      <c r="D151" s="600">
        <v>16.746700000000001</v>
      </c>
      <c r="E151" s="554">
        <v>11.6</v>
      </c>
      <c r="F151" s="554">
        <f t="shared" si="60"/>
        <v>-23160.150000000005</v>
      </c>
      <c r="G151" s="554">
        <f t="shared" si="61"/>
        <v>75360.150000000009</v>
      </c>
      <c r="H151" s="601">
        <f t="shared" si="62"/>
        <v>-0.30732621949398992</v>
      </c>
      <c r="I151" s="554"/>
      <c r="J151" s="554"/>
    </row>
    <row r="152" spans="2:10" x14ac:dyDescent="0.25">
      <c r="B152" s="548">
        <v>42516</v>
      </c>
      <c r="C152" s="553">
        <v>4000</v>
      </c>
      <c r="D152" s="600">
        <v>17.344999999999999</v>
      </c>
      <c r="E152" s="554">
        <v>11.95</v>
      </c>
      <c r="F152" s="554">
        <f t="shared" si="60"/>
        <v>-21580</v>
      </c>
      <c r="G152" s="554">
        <f t="shared" si="61"/>
        <v>69380</v>
      </c>
      <c r="H152" s="601">
        <f t="shared" si="62"/>
        <v>-0.31104064571922746</v>
      </c>
      <c r="I152" s="554"/>
      <c r="J152" s="554"/>
    </row>
    <row r="153" spans="2:10" x14ac:dyDescent="0.25">
      <c r="B153" s="548">
        <v>42517</v>
      </c>
      <c r="C153" s="553">
        <v>4000</v>
      </c>
      <c r="D153" s="600">
        <v>17.322700000000001</v>
      </c>
      <c r="E153" s="554">
        <v>12.31</v>
      </c>
      <c r="F153" s="554">
        <f t="shared" si="60"/>
        <v>-20050.800000000003</v>
      </c>
      <c r="G153" s="554">
        <f t="shared" si="61"/>
        <v>69290.8</v>
      </c>
      <c r="H153" s="601">
        <f t="shared" si="62"/>
        <v>-0.28937174920768705</v>
      </c>
      <c r="I153" s="554"/>
      <c r="J153" s="554"/>
    </row>
    <row r="154" spans="2:10" x14ac:dyDescent="0.25">
      <c r="B154" s="548">
        <v>42522</v>
      </c>
      <c r="C154" s="553">
        <v>3375</v>
      </c>
      <c r="D154" s="600">
        <v>18.078900000000001</v>
      </c>
      <c r="E154" s="554">
        <v>13.09</v>
      </c>
      <c r="F154" s="554">
        <f t="shared" si="60"/>
        <v>-16837.537500000002</v>
      </c>
      <c r="G154" s="554">
        <f t="shared" si="61"/>
        <v>61016.287500000006</v>
      </c>
      <c r="H154" s="601">
        <f t="shared" si="62"/>
        <v>-0.27595152359933406</v>
      </c>
      <c r="I154" s="554"/>
      <c r="J154" s="554"/>
    </row>
    <row r="155" spans="2:10" x14ac:dyDescent="0.25">
      <c r="B155" s="548">
        <v>42524</v>
      </c>
      <c r="C155" s="553">
        <v>4000</v>
      </c>
      <c r="D155" s="600">
        <v>17.229099999999999</v>
      </c>
      <c r="E155" s="554">
        <v>12.86</v>
      </c>
      <c r="F155" s="554">
        <f t="shared" si="60"/>
        <v>-17476.399999999998</v>
      </c>
      <c r="G155" s="554">
        <f t="shared" si="61"/>
        <v>68916.399999999994</v>
      </c>
      <c r="H155" s="601">
        <f t="shared" si="62"/>
        <v>-0.25358840566251284</v>
      </c>
      <c r="I155" s="554"/>
      <c r="J155" s="554"/>
    </row>
    <row r="156" spans="2:10" x14ac:dyDescent="0.25">
      <c r="B156" s="548">
        <v>42530</v>
      </c>
      <c r="C156" s="553">
        <v>4000</v>
      </c>
      <c r="D156" s="600">
        <v>17.184100000000001</v>
      </c>
      <c r="E156" s="554">
        <v>12.51</v>
      </c>
      <c r="F156" s="554">
        <f t="shared" si="60"/>
        <v>-18696.400000000005</v>
      </c>
      <c r="G156" s="554">
        <f t="shared" si="61"/>
        <v>68736.400000000009</v>
      </c>
      <c r="H156" s="601">
        <f t="shared" si="62"/>
        <v>-0.27200144319458108</v>
      </c>
      <c r="I156" s="554"/>
      <c r="J156" s="554"/>
    </row>
    <row r="157" spans="2:10" x14ac:dyDescent="0.25">
      <c r="B157" s="548">
        <v>42532</v>
      </c>
      <c r="C157" s="553">
        <v>4760</v>
      </c>
      <c r="D157" s="600">
        <v>16.386800000000001</v>
      </c>
      <c r="E157" s="554">
        <v>12.14</v>
      </c>
      <c r="F157" s="554">
        <f t="shared" si="60"/>
        <v>-20214.768</v>
      </c>
      <c r="G157" s="554">
        <f t="shared" si="61"/>
        <v>78001.168000000005</v>
      </c>
      <c r="H157" s="601">
        <f t="shared" si="62"/>
        <v>-0.25915981155564233</v>
      </c>
      <c r="I157" s="554"/>
      <c r="J157" s="554"/>
    </row>
    <row r="158" spans="2:10" x14ac:dyDescent="0.25">
      <c r="B158" s="548">
        <v>42535</v>
      </c>
      <c r="C158" s="553">
        <v>4760</v>
      </c>
      <c r="D158" s="600">
        <v>16.387</v>
      </c>
      <c r="E158" s="554">
        <v>11.92</v>
      </c>
      <c r="F158" s="554">
        <f t="shared" si="60"/>
        <v>-21262.920000000002</v>
      </c>
      <c r="G158" s="554">
        <f t="shared" si="61"/>
        <v>78002.12</v>
      </c>
      <c r="H158" s="601">
        <f t="shared" si="62"/>
        <v>-0.27259412949289075</v>
      </c>
      <c r="I158" s="554"/>
      <c r="J158" s="554"/>
    </row>
    <row r="159" spans="2:10" x14ac:dyDescent="0.25">
      <c r="B159" s="548">
        <v>42537</v>
      </c>
      <c r="C159" s="553">
        <v>4760</v>
      </c>
      <c r="D159" s="600">
        <v>16.361599999999999</v>
      </c>
      <c r="E159" s="554">
        <v>11.95</v>
      </c>
      <c r="F159" s="554">
        <f t="shared" si="60"/>
        <v>-20999.216</v>
      </c>
      <c r="G159" s="554">
        <f t="shared" si="61"/>
        <v>77881.216</v>
      </c>
      <c r="H159" s="601">
        <f t="shared" si="62"/>
        <v>-0.26963133189908078</v>
      </c>
      <c r="I159" s="554"/>
      <c r="J159" s="554"/>
    </row>
    <row r="160" spans="2:10" x14ac:dyDescent="0.25">
      <c r="B160" s="548">
        <v>42541</v>
      </c>
      <c r="C160" s="553">
        <v>4600</v>
      </c>
      <c r="D160" s="600">
        <v>16.459700000000002</v>
      </c>
      <c r="E160" s="554">
        <v>12.32</v>
      </c>
      <c r="F160" s="554">
        <f t="shared" si="60"/>
        <v>-19042.620000000006</v>
      </c>
      <c r="G160" s="554">
        <f t="shared" si="61"/>
        <v>75714.62000000001</v>
      </c>
      <c r="H160" s="601">
        <f t="shared" si="62"/>
        <v>-0.25150519146764527</v>
      </c>
      <c r="I160" s="554"/>
      <c r="J160" s="554"/>
    </row>
    <row r="161" spans="2:10" x14ac:dyDescent="0.25">
      <c r="B161" s="548">
        <v>42542</v>
      </c>
      <c r="C161" s="553">
        <v>4000</v>
      </c>
      <c r="D161" s="600">
        <v>17.010200000000001</v>
      </c>
      <c r="E161" s="554">
        <v>12.75</v>
      </c>
      <c r="F161" s="554">
        <f t="shared" si="60"/>
        <v>-17040.800000000003</v>
      </c>
      <c r="G161" s="554">
        <f t="shared" si="61"/>
        <v>68040.800000000003</v>
      </c>
      <c r="H161" s="601">
        <f t="shared" si="62"/>
        <v>-0.25044973016190292</v>
      </c>
      <c r="I161" s="554"/>
      <c r="J161" s="554"/>
    </row>
    <row r="162" spans="2:10" x14ac:dyDescent="0.25">
      <c r="B162" s="548">
        <v>42544</v>
      </c>
      <c r="C162" s="553">
        <v>2500</v>
      </c>
      <c r="D162" s="600">
        <v>18.952100000000002</v>
      </c>
      <c r="E162" s="554">
        <v>14.05</v>
      </c>
      <c r="F162" s="554">
        <f t="shared" si="60"/>
        <v>-12255.250000000002</v>
      </c>
      <c r="G162" s="554">
        <f t="shared" si="61"/>
        <v>47380.250000000007</v>
      </c>
      <c r="H162" s="601">
        <f t="shared" si="62"/>
        <v>-0.25865735195571998</v>
      </c>
      <c r="I162" s="554"/>
      <c r="J162" s="554"/>
    </row>
    <row r="163" spans="2:10" x14ac:dyDescent="0.25">
      <c r="B163" s="548">
        <v>42545</v>
      </c>
      <c r="C163" s="553">
        <v>3000</v>
      </c>
      <c r="D163" s="600">
        <v>18.046700000000001</v>
      </c>
      <c r="E163" s="554">
        <v>13.52</v>
      </c>
      <c r="F163" s="554">
        <f t="shared" si="60"/>
        <v>-13580.100000000006</v>
      </c>
      <c r="G163" s="554">
        <f t="shared" si="61"/>
        <v>54140.100000000006</v>
      </c>
      <c r="H163" s="601">
        <f t="shared" si="62"/>
        <v>-0.25083256218588446</v>
      </c>
      <c r="I163" s="554"/>
      <c r="J163" s="554"/>
    </row>
    <row r="164" spans="2:10" x14ac:dyDescent="0.25">
      <c r="B164" s="548">
        <v>42545</v>
      </c>
      <c r="C164" s="553">
        <v>3500</v>
      </c>
      <c r="D164" s="600">
        <v>17.391500000000001</v>
      </c>
      <c r="E164" s="554">
        <v>13.46</v>
      </c>
      <c r="F164" s="554">
        <f t="shared" si="60"/>
        <v>-13760.25</v>
      </c>
      <c r="G164" s="554">
        <f t="shared" si="61"/>
        <v>60870.25</v>
      </c>
      <c r="H164" s="601">
        <f t="shared" si="62"/>
        <v>-0.22605870683954804</v>
      </c>
      <c r="I164" s="554"/>
      <c r="J164" s="554"/>
    </row>
    <row r="165" spans="2:10" x14ac:dyDescent="0.25">
      <c r="B165" s="548">
        <v>42545</v>
      </c>
      <c r="C165" s="553">
        <v>4000</v>
      </c>
      <c r="D165" s="600">
        <v>16.8825</v>
      </c>
      <c r="E165" s="554">
        <v>13.32</v>
      </c>
      <c r="F165" s="554">
        <f t="shared" si="60"/>
        <v>-14250</v>
      </c>
      <c r="G165" s="554">
        <f t="shared" si="61"/>
        <v>67530</v>
      </c>
      <c r="H165" s="601">
        <f t="shared" si="62"/>
        <v>-0.21101732563305198</v>
      </c>
      <c r="I165" s="554"/>
      <c r="J165" s="554"/>
    </row>
    <row r="166" spans="2:10" x14ac:dyDescent="0.25">
      <c r="B166" s="548">
        <v>42548</v>
      </c>
      <c r="C166" s="553">
        <v>4760</v>
      </c>
      <c r="D166" s="600">
        <v>16.2315</v>
      </c>
      <c r="E166" s="554">
        <v>12.23</v>
      </c>
      <c r="F166" s="554">
        <f t="shared" si="60"/>
        <v>-19047.14</v>
      </c>
      <c r="G166" s="554">
        <f t="shared" si="61"/>
        <v>77261.94</v>
      </c>
      <c r="H166" s="601">
        <f t="shared" si="62"/>
        <v>-0.246526815143394</v>
      </c>
      <c r="I166" s="554"/>
      <c r="J166" s="554"/>
    </row>
    <row r="167" spans="2:10" x14ac:dyDescent="0.25">
      <c r="B167" s="548">
        <v>42548</v>
      </c>
      <c r="C167" s="553">
        <v>5260</v>
      </c>
      <c r="D167" s="600">
        <v>15.884399999999999</v>
      </c>
      <c r="E167" s="554">
        <v>12.23</v>
      </c>
      <c r="F167" s="554">
        <f t="shared" ref="F167:F214" si="63">-C167*(D167-E167)</f>
        <v>-19222.143999999993</v>
      </c>
      <c r="G167" s="554">
        <f t="shared" ref="G167:G214" si="64">IF(C167=0, 0,D167*C167)</f>
        <v>83551.944000000003</v>
      </c>
      <c r="H167" s="601">
        <f t="shared" ref="H167:H214" si="65">IF(C167=0, D167, (E167-D167)/D167)</f>
        <v>-0.23006219939059702</v>
      </c>
      <c r="I167" s="554"/>
      <c r="J167" s="554"/>
    </row>
    <row r="168" spans="2:10" x14ac:dyDescent="0.25">
      <c r="B168" s="548">
        <v>42549</v>
      </c>
      <c r="C168" s="553">
        <v>4500</v>
      </c>
      <c r="D168" s="600">
        <v>16.3767</v>
      </c>
      <c r="E168" s="554">
        <v>12.99</v>
      </c>
      <c r="F168" s="554">
        <f t="shared" si="63"/>
        <v>-15240.149999999998</v>
      </c>
      <c r="G168" s="554">
        <f t="shared" si="64"/>
        <v>73695.149999999994</v>
      </c>
      <c r="H168" s="601">
        <f t="shared" si="65"/>
        <v>-0.2067999047427137</v>
      </c>
      <c r="I168" s="554"/>
      <c r="J168" s="554"/>
    </row>
    <row r="169" spans="2:10" x14ac:dyDescent="0.25">
      <c r="B169" s="548">
        <v>42550</v>
      </c>
      <c r="C169" s="553">
        <v>4500</v>
      </c>
      <c r="D169" s="600">
        <v>16.3767</v>
      </c>
      <c r="E169" s="554">
        <v>13.19</v>
      </c>
      <c r="F169" s="554">
        <f t="shared" si="63"/>
        <v>-14340.15</v>
      </c>
      <c r="G169" s="554">
        <f t="shared" si="64"/>
        <v>73695.149999999994</v>
      </c>
      <c r="H169" s="601">
        <f t="shared" si="65"/>
        <v>-0.19458743214444912</v>
      </c>
      <c r="I169" s="554">
        <v>16</v>
      </c>
      <c r="J169" s="554"/>
    </row>
    <row r="170" spans="2:10" x14ac:dyDescent="0.25">
      <c r="B170" s="548">
        <v>42551</v>
      </c>
      <c r="C170" s="553">
        <v>4000</v>
      </c>
      <c r="D170" s="600">
        <v>16.708500000000001</v>
      </c>
      <c r="E170" s="554">
        <v>13.76</v>
      </c>
      <c r="F170" s="554">
        <f t="shared" si="63"/>
        <v>-11794.000000000004</v>
      </c>
      <c r="G170" s="554">
        <f t="shared" si="64"/>
        <v>66834</v>
      </c>
      <c r="H170" s="601">
        <f t="shared" si="65"/>
        <v>-0.176467067660173</v>
      </c>
      <c r="I170" s="554"/>
      <c r="J170" s="554"/>
    </row>
    <row r="171" spans="2:10" x14ac:dyDescent="0.25">
      <c r="B171" s="548">
        <v>42551</v>
      </c>
      <c r="C171" s="553">
        <v>4500</v>
      </c>
      <c r="D171" s="600">
        <v>16.23</v>
      </c>
      <c r="E171" s="554">
        <v>13.76</v>
      </c>
      <c r="F171" s="554">
        <f t="shared" si="63"/>
        <v>-11115.000000000004</v>
      </c>
      <c r="G171" s="554">
        <f t="shared" si="64"/>
        <v>73035</v>
      </c>
      <c r="H171" s="601">
        <f t="shared" si="65"/>
        <v>-0.15218730745532968</v>
      </c>
      <c r="I171" s="554" t="s">
        <v>231</v>
      </c>
      <c r="J171" s="554"/>
    </row>
    <row r="172" spans="2:10" x14ac:dyDescent="0.25">
      <c r="B172" s="548">
        <v>42552</v>
      </c>
      <c r="C172" s="553">
        <v>4500</v>
      </c>
      <c r="D172" s="600">
        <v>16.23</v>
      </c>
      <c r="E172" s="554">
        <v>12.5</v>
      </c>
      <c r="F172" s="554">
        <f t="shared" si="63"/>
        <v>-16785.000000000004</v>
      </c>
      <c r="G172" s="554">
        <f t="shared" si="64"/>
        <v>73035</v>
      </c>
      <c r="H172" s="601">
        <f t="shared" si="65"/>
        <v>-0.22982131854590268</v>
      </c>
      <c r="I172" s="554"/>
      <c r="J172" s="554"/>
    </row>
    <row r="173" spans="2:10" x14ac:dyDescent="0.25">
      <c r="B173" s="548">
        <v>42556</v>
      </c>
      <c r="C173" s="603">
        <v>5000</v>
      </c>
      <c r="D173" s="604">
        <v>15.7963</v>
      </c>
      <c r="E173" s="554">
        <v>11.91</v>
      </c>
      <c r="F173" s="554">
        <f t="shared" si="63"/>
        <v>-19431.5</v>
      </c>
      <c r="G173" s="554">
        <f t="shared" si="64"/>
        <v>78981.5</v>
      </c>
      <c r="H173" s="601">
        <f t="shared" si="65"/>
        <v>-0.24602596810645533</v>
      </c>
      <c r="I173" s="554">
        <v>15.6</v>
      </c>
      <c r="J173" s="554"/>
    </row>
    <row r="174" spans="2:10" x14ac:dyDescent="0.25">
      <c r="B174" s="548">
        <v>42557</v>
      </c>
      <c r="C174" s="553">
        <v>4500</v>
      </c>
      <c r="D174" s="600">
        <v>16.142600000000002</v>
      </c>
      <c r="E174" s="554">
        <v>12.2</v>
      </c>
      <c r="F174" s="554">
        <f t="shared" si="63"/>
        <v>-17741.700000000012</v>
      </c>
      <c r="G174" s="554">
        <f t="shared" si="64"/>
        <v>72641.700000000012</v>
      </c>
      <c r="H174" s="601">
        <f t="shared" si="65"/>
        <v>-0.24423574888803551</v>
      </c>
      <c r="I174" s="554"/>
      <c r="J174" s="554"/>
    </row>
    <row r="175" spans="2:10" x14ac:dyDescent="0.25">
      <c r="B175" s="548">
        <v>42559</v>
      </c>
      <c r="C175" s="553">
        <v>4500</v>
      </c>
      <c r="D175" s="600">
        <v>16.142600000000002</v>
      </c>
      <c r="E175" s="554">
        <v>12.62</v>
      </c>
      <c r="F175" s="554">
        <f t="shared" si="63"/>
        <v>-15851.700000000012</v>
      </c>
      <c r="G175" s="554">
        <f t="shared" si="64"/>
        <v>72641.700000000012</v>
      </c>
      <c r="H175" s="601">
        <f t="shared" si="65"/>
        <v>-0.21821763532516461</v>
      </c>
      <c r="I175" s="554"/>
      <c r="J175" s="554"/>
    </row>
    <row r="176" spans="2:10" x14ac:dyDescent="0.25">
      <c r="B176" s="548">
        <v>42562</v>
      </c>
      <c r="C176" s="553">
        <v>4500</v>
      </c>
      <c r="D176" s="600">
        <v>16.143000000000001</v>
      </c>
      <c r="E176" s="554">
        <v>12.64</v>
      </c>
      <c r="F176" s="554">
        <f t="shared" si="63"/>
        <v>-15763.5</v>
      </c>
      <c r="G176" s="554">
        <f t="shared" si="64"/>
        <v>72643.5</v>
      </c>
      <c r="H176" s="601">
        <f t="shared" si="65"/>
        <v>-0.21699807966301182</v>
      </c>
      <c r="I176" s="554"/>
      <c r="J176" s="554"/>
    </row>
    <row r="177" spans="2:17" x14ac:dyDescent="0.25">
      <c r="B177" s="548">
        <v>42572</v>
      </c>
      <c r="C177" s="553">
        <v>4500</v>
      </c>
      <c r="D177" s="600">
        <v>16.143000000000001</v>
      </c>
      <c r="E177" s="554">
        <v>13.18</v>
      </c>
      <c r="F177" s="554">
        <f t="shared" si="63"/>
        <v>-13333.500000000004</v>
      </c>
      <c r="G177" s="554">
        <f t="shared" si="64"/>
        <v>72643.5</v>
      </c>
      <c r="H177" s="601">
        <f t="shared" si="65"/>
        <v>-0.18354704825621018</v>
      </c>
      <c r="I177" s="554"/>
      <c r="J177" s="554"/>
    </row>
    <row r="178" spans="2:17" x14ac:dyDescent="0.25">
      <c r="B178" s="548">
        <v>42576</v>
      </c>
      <c r="C178" s="553">
        <v>4000</v>
      </c>
      <c r="D178" s="600">
        <v>16.433</v>
      </c>
      <c r="E178" s="554">
        <v>13.92</v>
      </c>
      <c r="F178" s="554">
        <f t="shared" si="63"/>
        <v>-10052</v>
      </c>
      <c r="G178" s="554">
        <f t="shared" si="64"/>
        <v>65732</v>
      </c>
      <c r="H178" s="601">
        <f t="shared" si="65"/>
        <v>-0.15292399440150917</v>
      </c>
      <c r="I178" s="554"/>
      <c r="J178" s="554"/>
    </row>
    <row r="179" spans="2:17" x14ac:dyDescent="0.25">
      <c r="B179" s="548">
        <v>42577</v>
      </c>
      <c r="C179" s="553">
        <v>3200</v>
      </c>
      <c r="D179" s="600">
        <v>16.935400000000001</v>
      </c>
      <c r="E179" s="554">
        <v>14.67</v>
      </c>
      <c r="F179" s="554">
        <f t="shared" si="63"/>
        <v>-7249.2800000000043</v>
      </c>
      <c r="G179" s="554">
        <f t="shared" si="64"/>
        <v>54193.280000000006</v>
      </c>
      <c r="H179" s="601">
        <f t="shared" si="65"/>
        <v>-0.1337671386563058</v>
      </c>
      <c r="I179" s="554"/>
      <c r="J179" s="554"/>
    </row>
    <row r="180" spans="2:17" x14ac:dyDescent="0.25">
      <c r="B180" s="548">
        <v>42578</v>
      </c>
      <c r="C180" s="553">
        <v>3400</v>
      </c>
      <c r="D180" s="600">
        <v>16.7698</v>
      </c>
      <c r="E180" s="554">
        <v>14.19</v>
      </c>
      <c r="F180" s="554">
        <f t="shared" si="63"/>
        <v>-8771.3200000000015</v>
      </c>
      <c r="G180" s="554">
        <f t="shared" si="64"/>
        <v>57017.32</v>
      </c>
      <c r="H180" s="601">
        <f t="shared" si="65"/>
        <v>-0.15383606244558673</v>
      </c>
      <c r="I180" s="554"/>
      <c r="J180" s="554"/>
    </row>
    <row r="181" spans="2:17" x14ac:dyDescent="0.25">
      <c r="B181" s="548">
        <v>42579</v>
      </c>
      <c r="C181" s="553">
        <v>4000</v>
      </c>
      <c r="D181" s="600">
        <v>16.327300000000001</v>
      </c>
      <c r="E181" s="554">
        <v>13.81</v>
      </c>
      <c r="F181" s="554">
        <f t="shared" si="63"/>
        <v>-10069.200000000003</v>
      </c>
      <c r="G181" s="554">
        <f t="shared" si="64"/>
        <v>65309.200000000004</v>
      </c>
      <c r="H181" s="601">
        <f t="shared" si="65"/>
        <v>-0.15417735939193869</v>
      </c>
      <c r="I181" s="554"/>
      <c r="J181" s="554"/>
    </row>
    <row r="182" spans="2:17" x14ac:dyDescent="0.25">
      <c r="B182" s="548">
        <v>42580</v>
      </c>
      <c r="C182" s="553">
        <v>4500</v>
      </c>
      <c r="D182" s="600">
        <v>16.026499999999999</v>
      </c>
      <c r="E182" s="554">
        <v>13.74</v>
      </c>
      <c r="F182" s="554">
        <f t="shared" si="63"/>
        <v>-10289.249999999993</v>
      </c>
      <c r="G182" s="554">
        <f t="shared" si="64"/>
        <v>72119.25</v>
      </c>
      <c r="H182" s="601">
        <f t="shared" si="65"/>
        <v>-0.14266995289052498</v>
      </c>
      <c r="I182" s="554"/>
      <c r="J182" s="554"/>
    </row>
    <row r="183" spans="2:17" x14ac:dyDescent="0.25">
      <c r="B183" s="548">
        <v>42585</v>
      </c>
      <c r="C183" s="553">
        <v>4700</v>
      </c>
      <c r="D183" s="600">
        <v>15.9011</v>
      </c>
      <c r="E183" s="554">
        <v>13.4</v>
      </c>
      <c r="F183" s="554">
        <f t="shared" si="63"/>
        <v>-11755.169999999996</v>
      </c>
      <c r="G183" s="554">
        <f t="shared" si="64"/>
        <v>74735.17</v>
      </c>
      <c r="H183" s="601">
        <f t="shared" si="65"/>
        <v>-0.15729100502480955</v>
      </c>
      <c r="I183" s="554"/>
      <c r="J183" s="554"/>
    </row>
    <row r="184" spans="2:17" x14ac:dyDescent="0.25">
      <c r="B184" s="548">
        <v>42586</v>
      </c>
      <c r="C184" s="553">
        <v>4500</v>
      </c>
      <c r="D184" s="600">
        <v>15.990399999999999</v>
      </c>
      <c r="E184" s="554">
        <v>14.03</v>
      </c>
      <c r="F184" s="554">
        <f t="shared" si="63"/>
        <v>-8821.7999999999993</v>
      </c>
      <c r="G184" s="554">
        <f t="shared" si="64"/>
        <v>71956.800000000003</v>
      </c>
      <c r="H184" s="601">
        <f t="shared" si="65"/>
        <v>-0.12259855913548129</v>
      </c>
      <c r="I184" s="554" t="s">
        <v>269</v>
      </c>
      <c r="J184" s="554"/>
    </row>
    <row r="185" spans="2:17" x14ac:dyDescent="0.25">
      <c r="B185" s="548">
        <v>42587</v>
      </c>
      <c r="C185" s="553">
        <v>4000</v>
      </c>
      <c r="D185" s="600">
        <v>16.158000000000001</v>
      </c>
      <c r="E185" s="554">
        <v>14.52</v>
      </c>
      <c r="F185" s="554">
        <f t="shared" si="63"/>
        <v>-6552.0000000000064</v>
      </c>
      <c r="G185" s="554">
        <f t="shared" si="64"/>
        <v>64632.000000000007</v>
      </c>
      <c r="H185" s="601">
        <f t="shared" si="65"/>
        <v>-0.10137393241737848</v>
      </c>
      <c r="I185" s="554">
        <v>16</v>
      </c>
      <c r="J185" s="554"/>
    </row>
    <row r="186" spans="2:17" x14ac:dyDescent="0.25">
      <c r="B186" s="548">
        <v>42593</v>
      </c>
      <c r="C186" s="553">
        <v>4000</v>
      </c>
      <c r="D186" s="600">
        <v>16.158000000000001</v>
      </c>
      <c r="E186" s="554">
        <v>14.2</v>
      </c>
      <c r="F186" s="554">
        <f t="shared" si="63"/>
        <v>-7832.0000000000082</v>
      </c>
      <c r="G186" s="554">
        <f t="shared" si="64"/>
        <v>64632.000000000007</v>
      </c>
      <c r="H186" s="601">
        <f t="shared" si="65"/>
        <v>-0.12117836365886879</v>
      </c>
      <c r="I186" s="554"/>
      <c r="J186" s="554"/>
    </row>
    <row r="187" spans="2:17" x14ac:dyDescent="0.25">
      <c r="B187" s="548">
        <v>42597</v>
      </c>
      <c r="C187" s="553">
        <v>2000</v>
      </c>
      <c r="D187" s="600">
        <v>17.3687</v>
      </c>
      <c r="E187" s="554">
        <v>15.53</v>
      </c>
      <c r="F187" s="554">
        <f t="shared" si="63"/>
        <v>-3677.4000000000024</v>
      </c>
      <c r="G187" s="554">
        <f t="shared" si="64"/>
        <v>34737.4</v>
      </c>
      <c r="H187" s="601">
        <f t="shared" si="65"/>
        <v>-0.10586284523309177</v>
      </c>
      <c r="I187" s="554">
        <v>17</v>
      </c>
      <c r="J187" s="554"/>
    </row>
    <row r="188" spans="2:17" x14ac:dyDescent="0.25">
      <c r="B188" s="548">
        <v>42599</v>
      </c>
      <c r="C188" s="553">
        <v>2000</v>
      </c>
      <c r="D188" s="600">
        <v>17.331299999999999</v>
      </c>
      <c r="E188" s="554">
        <v>15.52</v>
      </c>
      <c r="F188" s="554">
        <f t="shared" si="63"/>
        <v>-3622.5999999999985</v>
      </c>
      <c r="G188" s="554">
        <f t="shared" si="64"/>
        <v>34662.6</v>
      </c>
      <c r="H188" s="601">
        <f t="shared" si="65"/>
        <v>-0.10451033678950797</v>
      </c>
      <c r="I188" s="554"/>
      <c r="J188" s="554"/>
    </row>
    <row r="189" spans="2:17" x14ac:dyDescent="0.25">
      <c r="B189" s="548">
        <v>42600</v>
      </c>
      <c r="C189" s="553">
        <v>2000</v>
      </c>
      <c r="D189" s="600">
        <v>17.331299999999999</v>
      </c>
      <c r="E189" s="554">
        <v>15.77</v>
      </c>
      <c r="F189" s="554">
        <f t="shared" si="63"/>
        <v>-3122.5999999999985</v>
      </c>
      <c r="G189" s="554">
        <f t="shared" si="64"/>
        <v>34662.6</v>
      </c>
      <c r="H189" s="601">
        <f t="shared" si="65"/>
        <v>-9.0085567730060601E-2</v>
      </c>
      <c r="I189" s="554"/>
      <c r="J189" s="554"/>
    </row>
    <row r="190" spans="2:17" x14ac:dyDescent="0.25">
      <c r="B190" s="548">
        <v>42601</v>
      </c>
      <c r="C190" s="553">
        <v>2000</v>
      </c>
      <c r="D190" s="600">
        <v>17.331299999999999</v>
      </c>
      <c r="E190" s="554">
        <v>16.25</v>
      </c>
      <c r="F190" s="554">
        <f t="shared" si="63"/>
        <v>-2162.5999999999976</v>
      </c>
      <c r="G190" s="554">
        <f t="shared" si="64"/>
        <v>34662.6</v>
      </c>
      <c r="H190" s="601">
        <f t="shared" si="65"/>
        <v>-6.2390011135921651E-2</v>
      </c>
      <c r="I190" s="554"/>
      <c r="J190" s="554"/>
    </row>
    <row r="191" spans="2:17" x14ac:dyDescent="0.25">
      <c r="B191" s="548">
        <v>42604</v>
      </c>
      <c r="C191" s="553">
        <v>2000</v>
      </c>
      <c r="D191" s="600">
        <v>17.331299999999999</v>
      </c>
      <c r="E191" s="554">
        <v>16.190000000000001</v>
      </c>
      <c r="F191" s="554">
        <f t="shared" si="63"/>
        <v>-2282.5999999999949</v>
      </c>
      <c r="G191" s="554">
        <f t="shared" si="64"/>
        <v>34662.6</v>
      </c>
      <c r="H191" s="601">
        <f t="shared" si="65"/>
        <v>-6.5851955710188939E-2</v>
      </c>
      <c r="I191" s="554"/>
      <c r="J191" s="554"/>
      <c r="Q191" s="4"/>
    </row>
    <row r="192" spans="2:17" x14ac:dyDescent="0.25">
      <c r="B192" s="548">
        <v>42607</v>
      </c>
      <c r="C192" s="553">
        <v>2000</v>
      </c>
      <c r="D192" s="600">
        <v>17.331299999999999</v>
      </c>
      <c r="E192" s="554">
        <v>16.2</v>
      </c>
      <c r="F192" s="554">
        <f t="shared" si="63"/>
        <v>-2262.599999999999</v>
      </c>
      <c r="G192" s="554">
        <f t="shared" si="64"/>
        <v>34662.6</v>
      </c>
      <c r="H192" s="601">
        <f t="shared" si="65"/>
        <v>-6.5274964947811168E-2</v>
      </c>
      <c r="I192" s="554"/>
      <c r="J192" s="554"/>
      <c r="Q192" s="4"/>
    </row>
    <row r="193" spans="2:17" x14ac:dyDescent="0.25">
      <c r="B193" s="548">
        <v>42609</v>
      </c>
      <c r="C193" s="553">
        <v>2000</v>
      </c>
      <c r="D193" s="600">
        <v>17.331299999999999</v>
      </c>
      <c r="E193" s="554">
        <v>16.91</v>
      </c>
      <c r="F193" s="554">
        <f t="shared" si="63"/>
        <v>-842.59999999999741</v>
      </c>
      <c r="G193" s="554">
        <f t="shared" si="64"/>
        <v>34662.6</v>
      </c>
      <c r="H193" s="601">
        <f t="shared" si="65"/>
        <v>-2.4308620818980612E-2</v>
      </c>
      <c r="I193" s="554"/>
      <c r="J193" s="554"/>
      <c r="Q193" s="4"/>
    </row>
    <row r="194" spans="2:17" x14ac:dyDescent="0.25">
      <c r="B194" s="548">
        <v>42612</v>
      </c>
      <c r="C194" s="553">
        <v>2000</v>
      </c>
      <c r="D194" s="600">
        <v>17.331299999999999</v>
      </c>
      <c r="E194" s="554">
        <v>16.739999999999998</v>
      </c>
      <c r="F194" s="554">
        <f t="shared" si="63"/>
        <v>-1182.6000000000008</v>
      </c>
      <c r="G194" s="554">
        <f t="shared" si="64"/>
        <v>34662.6</v>
      </c>
      <c r="H194" s="601">
        <f t="shared" si="65"/>
        <v>-3.4117463779404916E-2</v>
      </c>
      <c r="I194" s="554"/>
      <c r="J194" s="554"/>
    </row>
    <row r="195" spans="2:17" x14ac:dyDescent="0.25">
      <c r="B195" s="548">
        <v>42615</v>
      </c>
      <c r="C195" s="553">
        <v>2000</v>
      </c>
      <c r="D195" s="600">
        <v>17.331299999999999</v>
      </c>
      <c r="E195" s="554">
        <v>16.7</v>
      </c>
      <c r="F195" s="554">
        <f t="shared" si="63"/>
        <v>-1262.599999999999</v>
      </c>
      <c r="G195" s="554">
        <f t="shared" si="64"/>
        <v>34662.6</v>
      </c>
      <c r="H195" s="601">
        <f t="shared" si="65"/>
        <v>-3.6425426828916446E-2</v>
      </c>
      <c r="I195" s="554"/>
      <c r="J195" s="554"/>
    </row>
    <row r="196" spans="2:17" x14ac:dyDescent="0.25">
      <c r="B196" s="548">
        <v>42619</v>
      </c>
      <c r="C196" s="553">
        <v>2000</v>
      </c>
      <c r="D196" s="600">
        <v>17.273900000000001</v>
      </c>
      <c r="E196" s="554">
        <v>17.010000000000002</v>
      </c>
      <c r="F196" s="554">
        <f t="shared" si="63"/>
        <v>-527.79999999999916</v>
      </c>
      <c r="G196" s="554">
        <f t="shared" si="64"/>
        <v>34547.800000000003</v>
      </c>
      <c r="H196" s="601">
        <f t="shared" si="65"/>
        <v>-1.5277383798678906E-2</v>
      </c>
      <c r="I196" s="554">
        <v>17</v>
      </c>
      <c r="J196" s="554"/>
    </row>
    <row r="197" spans="2:17" x14ac:dyDescent="0.25">
      <c r="B197" s="548">
        <v>42620</v>
      </c>
      <c r="C197" s="553">
        <v>2000</v>
      </c>
      <c r="D197" s="600">
        <v>17.234000000000002</v>
      </c>
      <c r="E197" s="554">
        <v>17.16</v>
      </c>
      <c r="F197" s="554">
        <f t="shared" si="63"/>
        <v>-148.00000000000324</v>
      </c>
      <c r="G197" s="554">
        <f t="shared" si="64"/>
        <v>34468</v>
      </c>
      <c r="H197" s="601">
        <f t="shared" si="65"/>
        <v>-4.2938377625624706E-3</v>
      </c>
      <c r="I197" s="554">
        <v>17</v>
      </c>
      <c r="J197" s="554"/>
    </row>
    <row r="198" spans="2:17" x14ac:dyDescent="0.25">
      <c r="B198" s="548">
        <v>42621</v>
      </c>
      <c r="C198" s="553">
        <v>1500</v>
      </c>
      <c r="D198" s="600">
        <v>17.168800000000001</v>
      </c>
      <c r="E198" s="554">
        <v>17.45</v>
      </c>
      <c r="F198" s="554">
        <f t="shared" si="63"/>
        <v>421.79999999999751</v>
      </c>
      <c r="G198" s="554">
        <f t="shared" si="64"/>
        <v>25753.200000000001</v>
      </c>
      <c r="H198" s="601">
        <f t="shared" si="65"/>
        <v>1.6378547132006798E-2</v>
      </c>
      <c r="I198" s="554"/>
      <c r="J198" s="554"/>
    </row>
    <row r="199" spans="2:17" x14ac:dyDescent="0.25">
      <c r="B199" s="548">
        <v>42622</v>
      </c>
      <c r="C199" s="553">
        <v>2000</v>
      </c>
      <c r="D199" s="600">
        <v>17.137899999999998</v>
      </c>
      <c r="E199" s="554">
        <v>16.809999999999999</v>
      </c>
      <c r="F199" s="554">
        <f t="shared" si="63"/>
        <v>-655.79999999999927</v>
      </c>
      <c r="G199" s="554">
        <f t="shared" si="64"/>
        <v>34275.799999999996</v>
      </c>
      <c r="H199" s="601">
        <f t="shared" si="65"/>
        <v>-1.9133032635270348E-2</v>
      </c>
      <c r="I199" s="554">
        <v>17</v>
      </c>
      <c r="J199" s="554"/>
    </row>
    <row r="200" spans="2:17" x14ac:dyDescent="0.25">
      <c r="B200" s="548">
        <v>42625</v>
      </c>
      <c r="C200" s="553">
        <v>2000</v>
      </c>
      <c r="D200" s="600">
        <v>17.137899999999998</v>
      </c>
      <c r="E200" s="554">
        <v>17.149999999999999</v>
      </c>
      <c r="F200" s="554">
        <f t="shared" si="63"/>
        <v>24.200000000000443</v>
      </c>
      <c r="G200" s="554">
        <f t="shared" si="64"/>
        <v>34275.799999999996</v>
      </c>
      <c r="H200" s="601">
        <f t="shared" si="65"/>
        <v>7.0603749584256077E-4</v>
      </c>
      <c r="I200" s="554"/>
      <c r="J200" s="554"/>
    </row>
    <row r="201" spans="2:17" x14ac:dyDescent="0.25">
      <c r="B201" s="548">
        <v>42626</v>
      </c>
      <c r="C201" s="553">
        <v>2100</v>
      </c>
      <c r="D201" s="600">
        <v>17.1065</v>
      </c>
      <c r="E201" s="554">
        <v>16.75</v>
      </c>
      <c r="F201" s="554">
        <f t="shared" si="63"/>
        <v>-748.650000000001</v>
      </c>
      <c r="G201" s="554">
        <f t="shared" si="64"/>
        <v>35923.65</v>
      </c>
      <c r="H201" s="601">
        <f t="shared" si="65"/>
        <v>-2.0840031566948265E-2</v>
      </c>
      <c r="I201" s="554"/>
      <c r="J201" s="554"/>
    </row>
    <row r="202" spans="2:17" x14ac:dyDescent="0.25">
      <c r="B202" s="548">
        <v>42627</v>
      </c>
      <c r="C202" s="553">
        <v>2100</v>
      </c>
      <c r="D202" s="600">
        <v>17.1065</v>
      </c>
      <c r="E202" s="554">
        <v>16.93</v>
      </c>
      <c r="F202" s="554">
        <f t="shared" si="63"/>
        <v>-370.65000000000163</v>
      </c>
      <c r="G202" s="554">
        <f t="shared" si="64"/>
        <v>35923.65</v>
      </c>
      <c r="H202" s="601">
        <f t="shared" si="65"/>
        <v>-1.0317715488264739E-2</v>
      </c>
      <c r="I202" s="554"/>
      <c r="J202" s="554"/>
    </row>
    <row r="203" spans="2:17" x14ac:dyDescent="0.25">
      <c r="B203" s="548">
        <v>42628</v>
      </c>
      <c r="C203" s="553">
        <v>2100</v>
      </c>
      <c r="D203" s="600">
        <v>17.1065</v>
      </c>
      <c r="E203" s="554">
        <v>17.45</v>
      </c>
      <c r="F203" s="554">
        <f t="shared" si="63"/>
        <v>721.34999999999752</v>
      </c>
      <c r="G203" s="554">
        <f t="shared" si="64"/>
        <v>35923.65</v>
      </c>
      <c r="H203" s="601">
        <f t="shared" si="65"/>
        <v>2.008008651682102E-2</v>
      </c>
      <c r="I203" s="554"/>
      <c r="J203" s="554"/>
    </row>
    <row r="204" spans="2:17" x14ac:dyDescent="0.25">
      <c r="B204" s="548">
        <v>42629</v>
      </c>
      <c r="C204" s="553">
        <v>2100</v>
      </c>
      <c r="D204" s="600">
        <v>17.1065</v>
      </c>
      <c r="E204" s="554">
        <v>17.48</v>
      </c>
      <c r="F204" s="554">
        <f t="shared" si="63"/>
        <v>784.34999999999991</v>
      </c>
      <c r="G204" s="554">
        <f t="shared" si="64"/>
        <v>35923.65</v>
      </c>
      <c r="H204" s="601">
        <f t="shared" si="65"/>
        <v>2.1833805863268343E-2</v>
      </c>
      <c r="I204" s="554"/>
      <c r="J204" s="554"/>
    </row>
    <row r="205" spans="2:17" x14ac:dyDescent="0.25">
      <c r="B205" s="548">
        <v>42632</v>
      </c>
      <c r="C205" s="553">
        <v>2100</v>
      </c>
      <c r="D205" s="600">
        <v>17.106529999999999</v>
      </c>
      <c r="E205" s="554">
        <v>16.95</v>
      </c>
      <c r="F205" s="554">
        <f t="shared" si="63"/>
        <v>-328.71300000000014</v>
      </c>
      <c r="G205" s="554">
        <f t="shared" si="64"/>
        <v>35923.712999999996</v>
      </c>
      <c r="H205" s="601">
        <f t="shared" si="65"/>
        <v>-9.150306929576019E-3</v>
      </c>
      <c r="I205" s="554"/>
      <c r="J205" s="554"/>
    </row>
    <row r="206" spans="2:17" x14ac:dyDescent="0.25">
      <c r="B206" s="548">
        <v>42634</v>
      </c>
      <c r="C206" s="553">
        <v>1600</v>
      </c>
      <c r="D206" s="600">
        <v>16.943059999999999</v>
      </c>
      <c r="E206" s="554">
        <v>17.66</v>
      </c>
      <c r="F206" s="554">
        <f t="shared" si="63"/>
        <v>1147.1040000000016</v>
      </c>
      <c r="G206" s="554">
        <f t="shared" si="64"/>
        <v>27108.895999999997</v>
      </c>
      <c r="H206" s="601">
        <f t="shared" si="65"/>
        <v>4.2314670431433346E-2</v>
      </c>
      <c r="I206" s="554"/>
      <c r="J206" s="554"/>
    </row>
    <row r="207" spans="2:17" x14ac:dyDescent="0.25">
      <c r="B207" s="548">
        <v>42635</v>
      </c>
      <c r="C207" s="553">
        <v>1600</v>
      </c>
      <c r="D207" s="600">
        <v>16.943059999999999</v>
      </c>
      <c r="E207" s="554">
        <v>17.59</v>
      </c>
      <c r="F207" s="554">
        <f t="shared" si="63"/>
        <v>1035.1040000000012</v>
      </c>
      <c r="G207" s="554">
        <f t="shared" si="64"/>
        <v>27108.895999999997</v>
      </c>
      <c r="H207" s="601">
        <f t="shared" si="65"/>
        <v>3.8183185327797978E-2</v>
      </c>
      <c r="I207" s="554"/>
      <c r="J207" s="554"/>
    </row>
    <row r="208" spans="2:17" x14ac:dyDescent="0.25">
      <c r="B208" s="548">
        <v>42640</v>
      </c>
      <c r="C208" s="553">
        <v>1600</v>
      </c>
      <c r="D208" s="600">
        <v>16.943059999999999</v>
      </c>
      <c r="E208" s="554">
        <v>18</v>
      </c>
      <c r="F208" s="554">
        <f t="shared" si="63"/>
        <v>1691.1040000000014</v>
      </c>
      <c r="G208" s="554">
        <f t="shared" si="64"/>
        <v>27108.895999999997</v>
      </c>
      <c r="H208" s="601">
        <f t="shared" si="65"/>
        <v>6.2381883791947909E-2</v>
      </c>
      <c r="I208" s="554"/>
      <c r="J208" s="554"/>
    </row>
    <row r="209" spans="2:10" x14ac:dyDescent="0.25">
      <c r="B209" s="548">
        <v>42641</v>
      </c>
      <c r="C209" s="553">
        <v>1800</v>
      </c>
      <c r="D209" s="600">
        <v>16.979289999999999</v>
      </c>
      <c r="E209" s="554">
        <v>17.440000000000001</v>
      </c>
      <c r="F209" s="554">
        <f t="shared" si="63"/>
        <v>829.27800000000434</v>
      </c>
      <c r="G209" s="554">
        <f t="shared" si="64"/>
        <v>30562.721999999998</v>
      </c>
      <c r="H209" s="601">
        <f t="shared" si="65"/>
        <v>2.71336433973389E-2</v>
      </c>
      <c r="I209" s="554"/>
      <c r="J209" s="554"/>
    </row>
    <row r="210" spans="2:10" x14ac:dyDescent="0.25">
      <c r="B210" s="548">
        <v>42643</v>
      </c>
      <c r="C210" s="553">
        <v>1800</v>
      </c>
      <c r="D210" s="600">
        <v>16.979289999999999</v>
      </c>
      <c r="E210" s="554">
        <v>17.78</v>
      </c>
      <c r="F210" s="554">
        <f t="shared" si="63"/>
        <v>1441.2780000000041</v>
      </c>
      <c r="G210" s="554">
        <f t="shared" si="64"/>
        <v>30562.721999999998</v>
      </c>
      <c r="H210" s="601">
        <f t="shared" si="65"/>
        <v>4.7158037821369583E-2</v>
      </c>
      <c r="I210" s="554"/>
      <c r="J210" s="554"/>
    </row>
    <row r="211" spans="2:10" x14ac:dyDescent="0.25">
      <c r="B211" s="548">
        <v>42647</v>
      </c>
      <c r="C211" s="553">
        <v>2000</v>
      </c>
      <c r="D211" s="600">
        <v>16.989360000000001</v>
      </c>
      <c r="E211" s="554">
        <v>17.8</v>
      </c>
      <c r="F211" s="554">
        <f t="shared" si="63"/>
        <v>1621.2799999999988</v>
      </c>
      <c r="G211" s="554">
        <f t="shared" si="64"/>
        <v>33978.720000000001</v>
      </c>
      <c r="H211" s="601">
        <f t="shared" si="65"/>
        <v>4.7714569589437116E-2</v>
      </c>
      <c r="I211" s="605" t="s">
        <v>299</v>
      </c>
      <c r="J211" s="605" t="s">
        <v>297</v>
      </c>
    </row>
    <row r="212" spans="2:10" x14ac:dyDescent="0.25">
      <c r="B212" s="548">
        <v>42648</v>
      </c>
      <c r="C212" s="553">
        <v>2000</v>
      </c>
      <c r="D212" s="600">
        <v>16.989360000000001</v>
      </c>
      <c r="E212" s="554">
        <v>17.7</v>
      </c>
      <c r="F212" s="554">
        <f t="shared" si="63"/>
        <v>1421.2799999999959</v>
      </c>
      <c r="G212" s="554">
        <f t="shared" si="64"/>
        <v>33978.720000000001</v>
      </c>
      <c r="H212" s="601">
        <f t="shared" si="65"/>
        <v>4.1828532681631204E-2</v>
      </c>
      <c r="I212" s="554"/>
      <c r="J212" s="554"/>
    </row>
    <row r="213" spans="2:10" x14ac:dyDescent="0.25">
      <c r="B213" s="548">
        <v>42661</v>
      </c>
      <c r="C213" s="553">
        <v>2200</v>
      </c>
      <c r="D213" s="600">
        <v>16.96123</v>
      </c>
      <c r="E213" s="554">
        <v>17.41</v>
      </c>
      <c r="F213" s="554">
        <f t="shared" si="63"/>
        <v>987.2939999999993</v>
      </c>
      <c r="G213" s="554">
        <f t="shared" si="64"/>
        <v>37314.705999999998</v>
      </c>
      <c r="H213" s="601">
        <f t="shared" si="65"/>
        <v>2.6458576412205934E-2</v>
      </c>
      <c r="I213" s="554"/>
      <c r="J213" s="554"/>
    </row>
    <row r="214" spans="2:10" x14ac:dyDescent="0.25">
      <c r="B214" s="548">
        <v>42662</v>
      </c>
      <c r="C214" s="553">
        <v>2000</v>
      </c>
      <c r="D214" s="600">
        <v>16.933399999999999</v>
      </c>
      <c r="E214" s="554">
        <v>17.215</v>
      </c>
      <c r="F214" s="554">
        <f t="shared" si="63"/>
        <v>563.20000000000186</v>
      </c>
      <c r="G214" s="554">
        <f t="shared" si="64"/>
        <v>33866.799999999996</v>
      </c>
      <c r="H214" s="601">
        <f t="shared" si="65"/>
        <v>1.6629855787969397E-2</v>
      </c>
      <c r="I214" s="605">
        <v>16.8</v>
      </c>
      <c r="J214" s="554"/>
    </row>
    <row r="215" spans="2:10" x14ac:dyDescent="0.25">
      <c r="B215" s="548">
        <v>42664</v>
      </c>
      <c r="C215" s="553">
        <v>2000</v>
      </c>
      <c r="D215" s="600">
        <v>16.933399999999999</v>
      </c>
      <c r="E215" s="554">
        <v>16.940000000000001</v>
      </c>
      <c r="F215" s="554">
        <f t="shared" ref="F215:F220" si="66">-C215*(D215-E215)</f>
        <v>13.200000000004763</v>
      </c>
      <c r="G215" s="554">
        <f t="shared" ref="G215:G220" si="67">IF(C215=0, 0,D215*C215)</f>
        <v>33866.799999999996</v>
      </c>
      <c r="H215" s="601">
        <f t="shared" ref="H215:H220" si="68">IF(C215=0, D215, (E215-D215)/D215)</f>
        <v>3.8976224503067206E-4</v>
      </c>
      <c r="I215" s="554"/>
      <c r="J215" s="554"/>
    </row>
    <row r="216" spans="2:10" x14ac:dyDescent="0.25">
      <c r="B216" s="548">
        <v>42668</v>
      </c>
      <c r="C216" s="553">
        <v>1800</v>
      </c>
      <c r="D216" s="600">
        <v>16.864930000000001</v>
      </c>
      <c r="E216" s="554">
        <v>17.54</v>
      </c>
      <c r="F216" s="554">
        <f t="shared" si="66"/>
        <v>1215.1259999999966</v>
      </c>
      <c r="G216" s="554">
        <f t="shared" si="67"/>
        <v>30356.874000000003</v>
      </c>
      <c r="H216" s="601">
        <f t="shared" si="68"/>
        <v>4.0028034507110198E-2</v>
      </c>
      <c r="I216" s="554"/>
      <c r="J216" s="554"/>
    </row>
    <row r="217" spans="2:10" x14ac:dyDescent="0.25">
      <c r="B217" s="548">
        <v>42669</v>
      </c>
      <c r="C217" s="553">
        <v>1000</v>
      </c>
      <c r="D217" s="600">
        <v>16.149180000000001</v>
      </c>
      <c r="E217" s="554">
        <v>17.64</v>
      </c>
      <c r="F217" s="554">
        <f t="shared" si="66"/>
        <v>1490.8199999999993</v>
      </c>
      <c r="G217" s="554">
        <f t="shared" si="67"/>
        <v>16149.18</v>
      </c>
      <c r="H217" s="601">
        <f t="shared" si="68"/>
        <v>9.2315523141113007E-2</v>
      </c>
      <c r="I217" s="554"/>
      <c r="J217" s="554"/>
    </row>
    <row r="218" spans="2:10" x14ac:dyDescent="0.25">
      <c r="B218" s="548">
        <v>42670</v>
      </c>
      <c r="C218" s="553">
        <v>1800</v>
      </c>
      <c r="D218" s="600">
        <v>16.753990000000002</v>
      </c>
      <c r="E218" s="554">
        <v>17.53</v>
      </c>
      <c r="F218" s="554">
        <f t="shared" si="66"/>
        <v>1396.8179999999988</v>
      </c>
      <c r="G218" s="554">
        <f t="shared" si="67"/>
        <v>30157.182000000004</v>
      </c>
      <c r="H218" s="601">
        <f t="shared" si="68"/>
        <v>4.6317921880101358E-2</v>
      </c>
      <c r="I218" s="554"/>
      <c r="J218" s="554"/>
    </row>
    <row r="219" spans="2:10" x14ac:dyDescent="0.25">
      <c r="B219" s="548">
        <v>42670</v>
      </c>
      <c r="C219" s="553">
        <v>2000</v>
      </c>
      <c r="D219" s="600">
        <v>16.820589999999999</v>
      </c>
      <c r="E219" s="554">
        <v>17.53</v>
      </c>
      <c r="F219" s="554">
        <f t="shared" si="66"/>
        <v>1418.8200000000038</v>
      </c>
      <c r="G219" s="554">
        <f t="shared" si="67"/>
        <v>33641.18</v>
      </c>
      <c r="H219" s="601">
        <f t="shared" si="68"/>
        <v>4.2175096117318234E-2</v>
      </c>
      <c r="I219" s="605">
        <v>16.8</v>
      </c>
      <c r="J219" s="554"/>
    </row>
    <row r="220" spans="2:10" x14ac:dyDescent="0.25">
      <c r="B220" s="548">
        <v>42671</v>
      </c>
      <c r="C220" s="553">
        <v>2000</v>
      </c>
      <c r="D220" s="600">
        <v>16.752666999999999</v>
      </c>
      <c r="E220" s="554">
        <v>17.2</v>
      </c>
      <c r="F220" s="554">
        <f t="shared" si="66"/>
        <v>894.66600000000085</v>
      </c>
      <c r="G220" s="554">
        <f t="shared" si="67"/>
        <v>33505.333999999995</v>
      </c>
      <c r="H220" s="601">
        <f t="shared" si="68"/>
        <v>2.6702196133905155E-2</v>
      </c>
      <c r="I220" s="605" t="s">
        <v>310</v>
      </c>
      <c r="J220" s="554"/>
    </row>
    <row r="221" spans="2:10" x14ac:dyDescent="0.25">
      <c r="B221" s="548">
        <v>42672</v>
      </c>
      <c r="C221" s="553">
        <v>2000</v>
      </c>
      <c r="D221" s="600">
        <v>16.752666999999999</v>
      </c>
      <c r="E221" s="554">
        <v>17.16</v>
      </c>
      <c r="F221" s="554">
        <f>-C221*(D221-E221)</f>
        <v>814.66600000000255</v>
      </c>
      <c r="G221" s="554">
        <f>IF(C221=0, 0,D221*C221)</f>
        <v>33505.333999999995</v>
      </c>
      <c r="H221" s="601">
        <f>IF(C221=0, D221, (E221-D221)/D221)</f>
        <v>2.4314516608012402E-2</v>
      </c>
      <c r="I221" s="605" t="s">
        <v>310</v>
      </c>
      <c r="J221" s="554"/>
    </row>
    <row r="222" spans="2:10" x14ac:dyDescent="0.25">
      <c r="B222" s="548">
        <v>42675</v>
      </c>
      <c r="C222" s="553">
        <v>2000</v>
      </c>
      <c r="D222" s="600">
        <v>16.742699999999999</v>
      </c>
      <c r="E222" s="554">
        <v>17.2</v>
      </c>
      <c r="F222" s="554">
        <f>-C222*(D222-E222)</f>
        <v>914.60000000000014</v>
      </c>
      <c r="G222" s="554">
        <f>IF(C222=0, 0,D222*C222)</f>
        <v>33485.4</v>
      </c>
      <c r="H222" s="601">
        <f>IF(C222=0, D222, (E222-D222)/D222)</f>
        <v>2.731339628614262E-2</v>
      </c>
      <c r="I222" s="605" t="s">
        <v>310</v>
      </c>
      <c r="J222" s="554"/>
    </row>
    <row r="223" spans="2:10" x14ac:dyDescent="0.25">
      <c r="B223" s="548">
        <v>42676</v>
      </c>
      <c r="C223" s="553">
        <v>2000</v>
      </c>
      <c r="D223" s="600">
        <v>16.742699999999999</v>
      </c>
      <c r="E223" s="554">
        <v>16.675000000000001</v>
      </c>
      <c r="F223" s="554">
        <f t="shared" ref="F223:F234" si="69">-C223*(D223-E223)</f>
        <v>-135.39999999999708</v>
      </c>
      <c r="G223" s="554">
        <f t="shared" ref="G223:G234" si="70">IF(C223=0, 0,D223*C223)</f>
        <v>33485.4</v>
      </c>
      <c r="H223" s="601">
        <f t="shared" ref="H223:H234" si="71">IF(C223=0, D223, (E223-D223)/D223)</f>
        <v>-4.0435533098006019E-3</v>
      </c>
      <c r="I223" s="554"/>
      <c r="J223" s="554"/>
    </row>
    <row r="224" spans="2:10" x14ac:dyDescent="0.25">
      <c r="B224" s="548">
        <v>42678</v>
      </c>
      <c r="C224" s="553">
        <v>2000</v>
      </c>
      <c r="D224" s="600">
        <v>16.7227</v>
      </c>
      <c r="E224" s="554">
        <v>16.68</v>
      </c>
      <c r="F224" s="554">
        <f t="shared" si="69"/>
        <v>-85.39999999999992</v>
      </c>
      <c r="G224" s="554">
        <f t="shared" si="70"/>
        <v>33445.4</v>
      </c>
      <c r="H224" s="601">
        <f t="shared" si="71"/>
        <v>-2.5534154173668102E-3</v>
      </c>
      <c r="I224" s="605" t="s">
        <v>310</v>
      </c>
      <c r="J224" s="554"/>
    </row>
    <row r="225" spans="2:10" x14ac:dyDescent="0.25">
      <c r="B225" s="548">
        <v>42701</v>
      </c>
      <c r="C225" s="553">
        <v>1800</v>
      </c>
      <c r="D225" s="600">
        <v>16.627528999999999</v>
      </c>
      <c r="E225" s="554">
        <v>20.13</v>
      </c>
      <c r="F225" s="554">
        <f t="shared" si="69"/>
        <v>6304.4477999999999</v>
      </c>
      <c r="G225" s="554">
        <f t="shared" si="70"/>
        <v>29929.552199999998</v>
      </c>
      <c r="H225" s="601">
        <f t="shared" si="71"/>
        <v>0.21064290430646671</v>
      </c>
      <c r="I225" s="554"/>
      <c r="J225" s="554"/>
    </row>
    <row r="226" spans="2:10" x14ac:dyDescent="0.25">
      <c r="B226" s="548">
        <v>42702</v>
      </c>
      <c r="C226" s="553">
        <v>1650</v>
      </c>
      <c r="D226" s="600">
        <v>16.310980000000001</v>
      </c>
      <c r="E226" s="554">
        <v>20.059999999999999</v>
      </c>
      <c r="F226" s="554">
        <f t="shared" si="69"/>
        <v>6185.8829999999971</v>
      </c>
      <c r="G226" s="554">
        <f t="shared" si="70"/>
        <v>26913.117000000002</v>
      </c>
      <c r="H226" s="601">
        <f t="shared" si="71"/>
        <v>0.22984639794788528</v>
      </c>
      <c r="I226" s="554"/>
      <c r="J226" s="554"/>
    </row>
    <row r="227" spans="2:10" x14ac:dyDescent="0.25">
      <c r="B227" s="548">
        <v>42705</v>
      </c>
      <c r="C227" s="553">
        <v>1800</v>
      </c>
      <c r="D227" s="600">
        <v>16.541699999999999</v>
      </c>
      <c r="E227" s="554">
        <v>18.48</v>
      </c>
      <c r="F227" s="554">
        <f t="shared" si="69"/>
        <v>3488.9400000000032</v>
      </c>
      <c r="G227" s="554">
        <f t="shared" si="70"/>
        <v>29775.059999999998</v>
      </c>
      <c r="H227" s="601">
        <f t="shared" si="71"/>
        <v>0.11717659007236268</v>
      </c>
      <c r="I227" s="554"/>
      <c r="J227" s="554"/>
    </row>
    <row r="228" spans="2:10" x14ac:dyDescent="0.25">
      <c r="B228" s="548">
        <v>42705</v>
      </c>
      <c r="C228" s="553">
        <v>2000</v>
      </c>
      <c r="D228" s="600">
        <v>16.707599999999999</v>
      </c>
      <c r="E228" s="554">
        <v>18.48</v>
      </c>
      <c r="F228" s="554">
        <f t="shared" si="69"/>
        <v>3544.800000000002</v>
      </c>
      <c r="G228" s="554">
        <f t="shared" si="70"/>
        <v>33415.199999999997</v>
      </c>
      <c r="H228" s="601">
        <f t="shared" si="71"/>
        <v>0.10608345902463556</v>
      </c>
      <c r="I228" s="605">
        <v>16.48</v>
      </c>
      <c r="J228" s="554"/>
    </row>
    <row r="229" spans="2:10" x14ac:dyDescent="0.25">
      <c r="B229" s="548">
        <v>42706</v>
      </c>
      <c r="C229" s="553">
        <v>1800</v>
      </c>
      <c r="D229" s="600">
        <v>16.476199999999999</v>
      </c>
      <c r="E229" s="554">
        <v>18.79</v>
      </c>
      <c r="F229" s="554">
        <f t="shared" si="69"/>
        <v>4164.8400000000011</v>
      </c>
      <c r="G229" s="554">
        <f t="shared" si="70"/>
        <v>29657.159999999996</v>
      </c>
      <c r="H229" s="601">
        <f t="shared" si="71"/>
        <v>0.14043286680181113</v>
      </c>
      <c r="I229" s="554"/>
      <c r="J229" s="554"/>
    </row>
    <row r="230" spans="2:10" x14ac:dyDescent="0.25">
      <c r="B230" s="548">
        <v>42710</v>
      </c>
      <c r="C230" s="553">
        <v>1800</v>
      </c>
      <c r="D230" s="600">
        <v>16.450700000000001</v>
      </c>
      <c r="E230" s="554">
        <v>19.059999999999999</v>
      </c>
      <c r="F230" s="554">
        <f t="shared" si="69"/>
        <v>4696.7399999999952</v>
      </c>
      <c r="G230" s="554">
        <f t="shared" si="70"/>
        <v>29611.260000000002</v>
      </c>
      <c r="H230" s="601">
        <f t="shared" si="71"/>
        <v>0.1586133112876654</v>
      </c>
      <c r="I230" s="554"/>
      <c r="J230" s="554"/>
    </row>
    <row r="231" spans="2:10" x14ac:dyDescent="0.25">
      <c r="B231" s="548">
        <v>42711</v>
      </c>
      <c r="C231" s="553">
        <v>1000</v>
      </c>
      <c r="D231" s="600">
        <v>13.444599999999999</v>
      </c>
      <c r="E231" s="554">
        <v>20.440000000000001</v>
      </c>
      <c r="F231" s="554">
        <f t="shared" si="69"/>
        <v>6995.4000000000015</v>
      </c>
      <c r="G231" s="554">
        <f t="shared" si="70"/>
        <v>13444.599999999999</v>
      </c>
      <c r="H231" s="601">
        <f t="shared" si="71"/>
        <v>0.52031298811418725</v>
      </c>
      <c r="I231" s="554"/>
      <c r="J231" s="554"/>
    </row>
    <row r="232" spans="2:10" x14ac:dyDescent="0.25">
      <c r="B232" s="548">
        <v>42716</v>
      </c>
      <c r="C232" s="553">
        <v>1800</v>
      </c>
      <c r="D232" s="600">
        <v>16.229800000000001</v>
      </c>
      <c r="E232" s="554">
        <v>20.02</v>
      </c>
      <c r="F232" s="554">
        <f t="shared" si="69"/>
        <v>6822.3599999999979</v>
      </c>
      <c r="G232" s="554">
        <f t="shared" si="70"/>
        <v>29213.640000000003</v>
      </c>
      <c r="H232" s="601">
        <f t="shared" si="71"/>
        <v>0.2335333768746379</v>
      </c>
      <c r="I232" s="554"/>
      <c r="J232" s="554"/>
    </row>
    <row r="233" spans="2:10" x14ac:dyDescent="0.25">
      <c r="B233" s="548">
        <v>42716</v>
      </c>
      <c r="C233" s="553">
        <v>1650</v>
      </c>
      <c r="D233" s="600">
        <v>15.888</v>
      </c>
      <c r="E233" s="554">
        <v>20.02</v>
      </c>
      <c r="F233" s="554">
        <f t="shared" si="69"/>
        <v>6817.7999999999993</v>
      </c>
      <c r="G233" s="554">
        <f t="shared" si="70"/>
        <v>26215.200000000001</v>
      </c>
      <c r="H233" s="601">
        <f t="shared" si="71"/>
        <v>0.26007049345417926</v>
      </c>
      <c r="I233" s="554"/>
      <c r="J233" s="554"/>
    </row>
    <row r="234" spans="2:10" x14ac:dyDescent="0.25">
      <c r="B234" s="548">
        <v>42717</v>
      </c>
      <c r="C234" s="553">
        <v>1550</v>
      </c>
      <c r="D234" s="600">
        <v>15.6</v>
      </c>
      <c r="E234" s="554">
        <v>20.13</v>
      </c>
      <c r="F234" s="554">
        <f t="shared" si="69"/>
        <v>7021.4999999999991</v>
      </c>
      <c r="G234" s="554">
        <f t="shared" si="70"/>
        <v>24180</v>
      </c>
      <c r="H234" s="601">
        <f t="shared" si="71"/>
        <v>0.29038461538461535</v>
      </c>
      <c r="I234" s="554"/>
      <c r="J234" s="554"/>
    </row>
    <row r="235" spans="2:10" x14ac:dyDescent="0.25">
      <c r="B235" s="548">
        <v>42726</v>
      </c>
      <c r="C235" s="553">
        <v>1550</v>
      </c>
      <c r="D235" s="600">
        <v>15.6</v>
      </c>
      <c r="E235" s="554">
        <v>23.2</v>
      </c>
      <c r="F235" s="554">
        <f>-C235*(D235-E235)</f>
        <v>11780</v>
      </c>
      <c r="G235" s="554">
        <f>IF(C235=0, 0,D235*C235)</f>
        <v>24180</v>
      </c>
      <c r="H235" s="601">
        <f>IF(C235=0, D235, (E235-D235)/D235)</f>
        <v>0.48717948717948717</v>
      </c>
      <c r="I235" s="554"/>
      <c r="J235" s="554"/>
    </row>
    <row r="236" spans="2:10" x14ac:dyDescent="0.25">
      <c r="B236" s="548">
        <v>42733</v>
      </c>
      <c r="C236" s="553">
        <v>1550</v>
      </c>
      <c r="D236" s="600">
        <v>15.6</v>
      </c>
      <c r="E236" s="554">
        <v>22.27</v>
      </c>
      <c r="F236" s="554">
        <f>-C236*(D236-E236)</f>
        <v>10338.5</v>
      </c>
      <c r="G236" s="554">
        <f>IF(C236=0, 0,D236*C236)</f>
        <v>24180</v>
      </c>
      <c r="H236" s="601">
        <f>IF(C236=0, D236, (E236-D236)/D236)</f>
        <v>0.42756410256410254</v>
      </c>
      <c r="I236" s="554"/>
      <c r="J236" s="554"/>
    </row>
    <row r="237" spans="2:10" x14ac:dyDescent="0.25">
      <c r="B237" s="548">
        <v>42738</v>
      </c>
      <c r="C237" s="553">
        <v>1550</v>
      </c>
      <c r="D237" s="600">
        <v>15.548634</v>
      </c>
      <c r="E237" s="554">
        <v>22.55</v>
      </c>
      <c r="F237" s="554">
        <f>-C237*(D237-E237)</f>
        <v>10852.117300000002</v>
      </c>
      <c r="G237" s="554">
        <f>IF(C237=0, 0,D237*C237)</f>
        <v>24100.382699999998</v>
      </c>
      <c r="H237" s="601">
        <f>IF(C237=0, D237, (E237-D237)/D237)</f>
        <v>0.4502881732247348</v>
      </c>
      <c r="I237" s="554"/>
      <c r="J237" s="554"/>
    </row>
    <row r="238" spans="2:10" x14ac:dyDescent="0.25">
      <c r="B238" s="548"/>
      <c r="C238" s="553"/>
      <c r="D238" s="600"/>
      <c r="E238" s="554"/>
      <c r="F238" s="554"/>
      <c r="G238" s="554"/>
      <c r="H238" s="601"/>
      <c r="I238" s="554"/>
      <c r="J238" s="554"/>
    </row>
    <row r="239" spans="2:10" x14ac:dyDescent="0.25">
      <c r="B239" s="190"/>
      <c r="C239" s="10"/>
      <c r="D239" s="197"/>
      <c r="E239" s="40"/>
      <c r="F239" s="40"/>
      <c r="G239" s="40"/>
      <c r="H239" s="229"/>
      <c r="I239" s="40"/>
      <c r="J239" s="40"/>
    </row>
    <row r="240" spans="2:10" x14ac:dyDescent="0.25">
      <c r="B240" s="190"/>
      <c r="C240" s="10"/>
      <c r="D240" s="197"/>
      <c r="E240" s="40"/>
      <c r="F240" s="40"/>
      <c r="G240" s="40"/>
      <c r="H240" s="229"/>
      <c r="I240" s="40"/>
      <c r="J240" s="40"/>
    </row>
    <row r="241" spans="1:13" x14ac:dyDescent="0.25">
      <c r="B241" s="190"/>
      <c r="C241" s="10"/>
      <c r="D241" s="197"/>
      <c r="E241" s="40"/>
      <c r="F241" s="40"/>
      <c r="G241" s="40"/>
      <c r="H241" s="229"/>
      <c r="I241" s="40"/>
      <c r="J241" s="40"/>
    </row>
    <row r="242" spans="1:13" x14ac:dyDescent="0.25">
      <c r="B242" s="190"/>
      <c r="C242" s="10"/>
      <c r="D242" s="197"/>
      <c r="E242" s="40"/>
      <c r="F242" s="40"/>
      <c r="G242" s="40"/>
      <c r="H242" s="229"/>
      <c r="I242" s="40"/>
      <c r="J242" s="40"/>
    </row>
    <row r="243" spans="1:13" x14ac:dyDescent="0.25">
      <c r="B243" s="190"/>
      <c r="C243" s="10"/>
      <c r="D243" s="197"/>
      <c r="E243" s="40"/>
      <c r="F243" s="40"/>
      <c r="G243" s="40"/>
      <c r="H243" s="229"/>
      <c r="I243" s="40"/>
      <c r="J243" s="40"/>
    </row>
    <row r="244" spans="1:13" x14ac:dyDescent="0.25">
      <c r="B244" s="190"/>
      <c r="C244" s="10"/>
      <c r="D244" s="197"/>
      <c r="E244" s="40"/>
      <c r="F244" s="40"/>
      <c r="G244" s="40"/>
      <c r="H244" s="229"/>
      <c r="I244" s="40"/>
      <c r="J244" s="40"/>
    </row>
    <row r="245" spans="1:13" x14ac:dyDescent="0.25">
      <c r="B245" s="190"/>
      <c r="C245" s="10"/>
      <c r="D245" s="197"/>
      <c r="E245" s="40"/>
      <c r="F245" s="40"/>
      <c r="G245" s="40"/>
      <c r="H245" s="229"/>
      <c r="I245" s="40"/>
      <c r="J245" s="40"/>
    </row>
    <row r="250" spans="1:13" x14ac:dyDescent="0.25">
      <c r="L250" t="s">
        <v>65</v>
      </c>
      <c r="M250" s="2">
        <f>M429+K429-F429</f>
        <v>18946.796999999788</v>
      </c>
    </row>
    <row r="251" spans="1:13" x14ac:dyDescent="0.25">
      <c r="A251" s="32" t="s">
        <v>1</v>
      </c>
      <c r="B251" s="32" t="s">
        <v>2</v>
      </c>
      <c r="C251" s="32" t="s">
        <v>4</v>
      </c>
      <c r="D251" s="32" t="s">
        <v>5</v>
      </c>
      <c r="E251" s="32" t="s">
        <v>94</v>
      </c>
      <c r="F251" s="32" t="s">
        <v>60</v>
      </c>
      <c r="G251" s="32" t="s">
        <v>3</v>
      </c>
      <c r="H251" s="32" t="s">
        <v>6</v>
      </c>
      <c r="I251" s="491" t="s">
        <v>7</v>
      </c>
      <c r="J251" s="491" t="s">
        <v>95</v>
      </c>
      <c r="K251" s="491" t="s">
        <v>61</v>
      </c>
      <c r="L251" s="32" t="s">
        <v>37</v>
      </c>
      <c r="M251" s="32" t="s">
        <v>38</v>
      </c>
    </row>
    <row r="252" spans="1:13" x14ac:dyDescent="0.25">
      <c r="A252" s="262" t="s">
        <v>34</v>
      </c>
      <c r="B252" s="574">
        <v>42166</v>
      </c>
      <c r="C252" s="258">
        <v>5</v>
      </c>
      <c r="D252" s="259">
        <v>26.04</v>
      </c>
      <c r="E252" s="259">
        <v>0</v>
      </c>
      <c r="F252" s="259">
        <f>C252*D252+E252</f>
        <v>130.19999999999999</v>
      </c>
      <c r="G252" s="263">
        <v>42186</v>
      </c>
      <c r="H252" s="258">
        <v>185</v>
      </c>
      <c r="I252" s="259">
        <v>19.75</v>
      </c>
      <c r="J252" s="259">
        <v>7.0000000000000007E-2</v>
      </c>
      <c r="K252" s="259">
        <f t="shared" ref="K252:K310" si="72">H252*I252-J252</f>
        <v>3653.68</v>
      </c>
      <c r="L252" s="258" t="s">
        <v>79</v>
      </c>
      <c r="M252" s="258"/>
    </row>
    <row r="253" spans="1:13" x14ac:dyDescent="0.25">
      <c r="A253" s="265" t="s">
        <v>71</v>
      </c>
      <c r="B253" s="574">
        <v>42167</v>
      </c>
      <c r="C253" s="258">
        <v>10</v>
      </c>
      <c r="D253" s="259">
        <v>25.1</v>
      </c>
      <c r="E253" s="259">
        <v>0</v>
      </c>
      <c r="F253" s="259">
        <f t="shared" ref="F253:F303" si="73">C253*D253+E253</f>
        <v>251</v>
      </c>
      <c r="G253" s="263">
        <v>42207</v>
      </c>
      <c r="H253" s="258">
        <v>20</v>
      </c>
      <c r="I253" s="259">
        <v>19.899999999999999</v>
      </c>
      <c r="J253" s="259">
        <v>0.01</v>
      </c>
      <c r="K253" s="259">
        <f t="shared" si="72"/>
        <v>397.99</v>
      </c>
      <c r="L253" s="258"/>
      <c r="M253" s="258"/>
    </row>
    <row r="254" spans="1:13" x14ac:dyDescent="0.25">
      <c r="A254" s="258"/>
      <c r="B254" s="574">
        <v>42179</v>
      </c>
      <c r="C254" s="258">
        <v>15</v>
      </c>
      <c r="D254" s="259">
        <v>24.51</v>
      </c>
      <c r="E254" s="259">
        <v>0</v>
      </c>
      <c r="F254" s="259">
        <f t="shared" si="73"/>
        <v>367.65000000000003</v>
      </c>
      <c r="G254" s="263">
        <v>42207</v>
      </c>
      <c r="H254" s="258">
        <v>95</v>
      </c>
      <c r="I254" s="259">
        <v>20.02</v>
      </c>
      <c r="J254" s="259">
        <v>0.5</v>
      </c>
      <c r="K254" s="259">
        <f t="shared" si="72"/>
        <v>1901.3999999999999</v>
      </c>
      <c r="L254" s="258"/>
      <c r="M254" s="258"/>
    </row>
    <row r="255" spans="1:13" x14ac:dyDescent="0.25">
      <c r="A255" s="258"/>
      <c r="B255" s="574">
        <v>42180</v>
      </c>
      <c r="C255" s="258">
        <v>100</v>
      </c>
      <c r="D255" s="259">
        <v>23.92</v>
      </c>
      <c r="E255" s="259">
        <v>0</v>
      </c>
      <c r="F255" s="259">
        <f t="shared" si="73"/>
        <v>2392</v>
      </c>
      <c r="G255" s="263">
        <v>42216</v>
      </c>
      <c r="H255" s="258">
        <v>165</v>
      </c>
      <c r="I255" s="259">
        <v>19.899999999999999</v>
      </c>
      <c r="J255" s="259">
        <v>0.06</v>
      </c>
      <c r="K255" s="259">
        <f t="shared" si="72"/>
        <v>3283.4399999999996</v>
      </c>
      <c r="L255" s="258"/>
      <c r="M255" s="258"/>
    </row>
    <row r="256" spans="1:13" x14ac:dyDescent="0.25">
      <c r="A256" s="258"/>
      <c r="B256" s="574">
        <v>42185</v>
      </c>
      <c r="C256" s="258">
        <v>50</v>
      </c>
      <c r="D256" s="259">
        <v>21.21</v>
      </c>
      <c r="E256" s="259">
        <v>0</v>
      </c>
      <c r="F256" s="259">
        <f t="shared" si="73"/>
        <v>1060.5</v>
      </c>
      <c r="G256" s="263">
        <v>42236</v>
      </c>
      <c r="H256" s="258">
        <v>630</v>
      </c>
      <c r="I256" s="259">
        <v>17.199682539682538</v>
      </c>
      <c r="J256" s="259">
        <v>0</v>
      </c>
      <c r="K256" s="259">
        <f t="shared" si="72"/>
        <v>10835.8</v>
      </c>
      <c r="L256" s="258"/>
      <c r="M256" s="258"/>
    </row>
    <row r="257" spans="1:13" x14ac:dyDescent="0.25">
      <c r="A257" s="258"/>
      <c r="B257" s="574">
        <v>42186</v>
      </c>
      <c r="C257" s="258">
        <v>50</v>
      </c>
      <c r="D257" s="259">
        <v>20.5</v>
      </c>
      <c r="E257" s="259">
        <v>0</v>
      </c>
      <c r="F257" s="259">
        <f t="shared" si="73"/>
        <v>1025</v>
      </c>
      <c r="G257" s="263">
        <v>42257</v>
      </c>
      <c r="H257" s="258">
        <v>850</v>
      </c>
      <c r="I257" s="259">
        <v>17.18</v>
      </c>
      <c r="J257" s="259">
        <v>0.27</v>
      </c>
      <c r="K257" s="259">
        <f t="shared" si="72"/>
        <v>14602.73</v>
      </c>
      <c r="L257" s="258"/>
      <c r="M257" s="258"/>
    </row>
    <row r="258" spans="1:13" x14ac:dyDescent="0.25">
      <c r="A258" s="258"/>
      <c r="B258" s="574">
        <v>42186</v>
      </c>
      <c r="C258" s="258">
        <v>170</v>
      </c>
      <c r="D258" s="259">
        <v>19.600000000000001</v>
      </c>
      <c r="E258" s="259">
        <v>0</v>
      </c>
      <c r="F258" s="259">
        <f t="shared" si="73"/>
        <v>3332.0000000000005</v>
      </c>
      <c r="G258" s="263">
        <v>42283</v>
      </c>
      <c r="H258" s="258">
        <v>1580</v>
      </c>
      <c r="I258" s="259">
        <v>15.83</v>
      </c>
      <c r="J258" s="259">
        <v>0.46</v>
      </c>
      <c r="K258" s="259">
        <f t="shared" si="72"/>
        <v>25010.940000000002</v>
      </c>
      <c r="L258" s="258"/>
      <c r="M258" s="258"/>
    </row>
    <row r="259" spans="1:13" x14ac:dyDescent="0.25">
      <c r="A259" s="258"/>
      <c r="B259" s="574">
        <v>42187</v>
      </c>
      <c r="C259" s="258">
        <v>1000</v>
      </c>
      <c r="D259" s="259">
        <v>19.2</v>
      </c>
      <c r="E259" s="259">
        <v>0</v>
      </c>
      <c r="F259" s="259">
        <f t="shared" si="73"/>
        <v>19200</v>
      </c>
      <c r="G259" s="459">
        <v>42285</v>
      </c>
      <c r="H259" s="258">
        <v>1440</v>
      </c>
      <c r="I259" s="259">
        <v>16.75</v>
      </c>
      <c r="J259" s="259">
        <v>0.44</v>
      </c>
      <c r="K259" s="259">
        <f t="shared" si="72"/>
        <v>24119.56</v>
      </c>
      <c r="L259" s="258"/>
      <c r="M259" s="258"/>
    </row>
    <row r="260" spans="1:13" x14ac:dyDescent="0.25">
      <c r="A260" s="258"/>
      <c r="B260" s="574">
        <v>42199</v>
      </c>
      <c r="C260" s="258">
        <v>100</v>
      </c>
      <c r="D260" s="259">
        <v>17.25</v>
      </c>
      <c r="E260" s="259">
        <v>0</v>
      </c>
      <c r="F260" s="259">
        <f t="shared" si="73"/>
        <v>1725</v>
      </c>
      <c r="G260" s="459">
        <v>42291</v>
      </c>
      <c r="H260" s="258">
        <v>410</v>
      </c>
      <c r="I260" s="259">
        <v>18.989999999999998</v>
      </c>
      <c r="J260" s="259">
        <v>0.14000000000000001</v>
      </c>
      <c r="K260" s="259">
        <f t="shared" si="72"/>
        <v>7785.7599999999993</v>
      </c>
      <c r="L260" s="259"/>
      <c r="M260" s="258"/>
    </row>
    <row r="261" spans="1:13" x14ac:dyDescent="0.25">
      <c r="A261" s="258"/>
      <c r="B261" s="574">
        <v>42205</v>
      </c>
      <c r="C261" s="258">
        <v>20</v>
      </c>
      <c r="D261" s="259">
        <v>18.850000000000001</v>
      </c>
      <c r="E261" s="259">
        <v>0</v>
      </c>
      <c r="F261" s="259">
        <f t="shared" si="73"/>
        <v>377</v>
      </c>
      <c r="G261" s="263">
        <v>42296</v>
      </c>
      <c r="H261" s="258">
        <v>2470</v>
      </c>
      <c r="I261" s="259">
        <v>19.100000000000001</v>
      </c>
      <c r="J261" s="259">
        <v>0.87</v>
      </c>
      <c r="K261" s="259">
        <f t="shared" si="72"/>
        <v>47176.13</v>
      </c>
      <c r="L261" s="258"/>
      <c r="M261" s="258"/>
    </row>
    <row r="262" spans="1:13" x14ac:dyDescent="0.25">
      <c r="A262" s="259"/>
      <c r="B262" s="574">
        <v>42208</v>
      </c>
      <c r="C262" s="258">
        <v>80</v>
      </c>
      <c r="D262" s="259">
        <v>18.95</v>
      </c>
      <c r="E262" s="259">
        <v>0</v>
      </c>
      <c r="F262" s="259">
        <f t="shared" si="73"/>
        <v>1516</v>
      </c>
      <c r="G262" s="263">
        <v>42310</v>
      </c>
      <c r="H262" s="258">
        <v>1100</v>
      </c>
      <c r="I262" s="259">
        <v>16.989999999999998</v>
      </c>
      <c r="J262" s="259">
        <v>7.29</v>
      </c>
      <c r="K262" s="259">
        <f t="shared" si="72"/>
        <v>18681.71</v>
      </c>
      <c r="L262" s="258"/>
      <c r="M262" s="258"/>
    </row>
    <row r="263" spans="1:13" x14ac:dyDescent="0.25">
      <c r="A263" s="258"/>
      <c r="B263" s="574">
        <v>42212</v>
      </c>
      <c r="C263" s="258">
        <v>100</v>
      </c>
      <c r="D263" s="259">
        <v>17.95</v>
      </c>
      <c r="E263" s="259">
        <v>0</v>
      </c>
      <c r="F263" s="259">
        <f t="shared" si="73"/>
        <v>1795</v>
      </c>
      <c r="G263" s="699">
        <v>42314</v>
      </c>
      <c r="H263" s="258">
        <v>2200</v>
      </c>
      <c r="I263" s="259">
        <v>17.55</v>
      </c>
      <c r="J263" s="259">
        <v>0.77</v>
      </c>
      <c r="K263" s="259">
        <f t="shared" si="72"/>
        <v>38609.230000000003</v>
      </c>
      <c r="L263" s="258"/>
      <c r="M263" s="258"/>
    </row>
    <row r="264" spans="1:13" x14ac:dyDescent="0.25">
      <c r="A264" s="258"/>
      <c r="B264" s="574">
        <v>42221</v>
      </c>
      <c r="C264" s="258">
        <v>65</v>
      </c>
      <c r="D264" s="259">
        <v>19.100000000000001</v>
      </c>
      <c r="E264" s="259">
        <v>0</v>
      </c>
      <c r="F264" s="259">
        <f t="shared" si="73"/>
        <v>1241.5</v>
      </c>
      <c r="G264" s="699"/>
      <c r="H264" s="258">
        <v>190</v>
      </c>
      <c r="I264" s="259">
        <v>17.55</v>
      </c>
      <c r="J264" s="259">
        <v>0</v>
      </c>
      <c r="K264" s="259">
        <f t="shared" si="72"/>
        <v>3334.5</v>
      </c>
      <c r="L264" s="258"/>
      <c r="M264" s="258"/>
    </row>
    <row r="265" spans="1:13" x14ac:dyDescent="0.25">
      <c r="A265" s="258"/>
      <c r="B265" s="574">
        <v>42221</v>
      </c>
      <c r="C265" s="258">
        <v>300</v>
      </c>
      <c r="D265" s="259">
        <v>18.600000000000001</v>
      </c>
      <c r="E265" s="259">
        <v>0</v>
      </c>
      <c r="F265" s="259">
        <f t="shared" si="73"/>
        <v>5580</v>
      </c>
      <c r="G265" s="263">
        <v>42320</v>
      </c>
      <c r="H265" s="258">
        <v>1000</v>
      </c>
      <c r="I265" s="259">
        <v>16.734999999999999</v>
      </c>
      <c r="J265" s="259">
        <v>0.31</v>
      </c>
      <c r="K265" s="259">
        <f t="shared" si="72"/>
        <v>16734.689999999999</v>
      </c>
      <c r="L265" s="258"/>
      <c r="M265" s="258"/>
    </row>
    <row r="266" spans="1:13" x14ac:dyDescent="0.25">
      <c r="A266" s="258"/>
      <c r="B266" s="574">
        <v>42221</v>
      </c>
      <c r="C266" s="258">
        <v>200</v>
      </c>
      <c r="D266" s="259">
        <v>18.5</v>
      </c>
      <c r="E266" s="259">
        <v>0</v>
      </c>
      <c r="F266" s="259">
        <f t="shared" si="73"/>
        <v>3700</v>
      </c>
      <c r="G266" s="263">
        <v>42328</v>
      </c>
      <c r="H266" s="258">
        <v>940</v>
      </c>
      <c r="I266" s="259">
        <v>15.51</v>
      </c>
      <c r="J266" s="259">
        <v>0.27</v>
      </c>
      <c r="K266" s="259">
        <f t="shared" si="72"/>
        <v>14579.13</v>
      </c>
      <c r="L266" s="258"/>
      <c r="M266" s="258"/>
    </row>
    <row r="267" spans="1:13" x14ac:dyDescent="0.25">
      <c r="A267" s="258"/>
      <c r="B267" s="574">
        <v>42223</v>
      </c>
      <c r="C267" s="258">
        <v>50</v>
      </c>
      <c r="D267" s="259">
        <v>18.75</v>
      </c>
      <c r="E267" s="259">
        <v>0</v>
      </c>
      <c r="F267" s="259">
        <f t="shared" si="73"/>
        <v>937.5</v>
      </c>
      <c r="G267" s="263">
        <v>42335</v>
      </c>
      <c r="H267" s="258">
        <v>940</v>
      </c>
      <c r="I267" s="259">
        <v>15.62</v>
      </c>
      <c r="J267" s="259">
        <v>0.27</v>
      </c>
      <c r="K267" s="259">
        <f t="shared" si="72"/>
        <v>14682.529999999999</v>
      </c>
      <c r="L267" s="258"/>
      <c r="M267" s="258"/>
    </row>
    <row r="268" spans="1:13" x14ac:dyDescent="0.25">
      <c r="A268" s="258"/>
      <c r="B268" s="574">
        <v>42227</v>
      </c>
      <c r="C268" s="258">
        <v>50</v>
      </c>
      <c r="D268" s="259">
        <v>18.45</v>
      </c>
      <c r="E268" s="259">
        <v>0</v>
      </c>
      <c r="F268" s="259">
        <f t="shared" si="73"/>
        <v>922.5</v>
      </c>
      <c r="G268" s="263">
        <v>42341</v>
      </c>
      <c r="H268" s="258">
        <v>350</v>
      </c>
      <c r="I268" s="259">
        <v>16.03</v>
      </c>
      <c r="J268" s="259">
        <v>0.1</v>
      </c>
      <c r="K268" s="259">
        <f t="shared" si="72"/>
        <v>5610.4</v>
      </c>
      <c r="L268" s="258"/>
      <c r="M268" s="258"/>
    </row>
    <row r="269" spans="1:13" x14ac:dyDescent="0.25">
      <c r="A269" s="258"/>
      <c r="B269" s="574">
        <v>42228</v>
      </c>
      <c r="C269" s="258">
        <v>100</v>
      </c>
      <c r="D269" s="259">
        <v>18.45</v>
      </c>
      <c r="E269" s="259">
        <v>0</v>
      </c>
      <c r="F269" s="259">
        <f t="shared" si="73"/>
        <v>1845</v>
      </c>
      <c r="G269" s="263">
        <v>42346</v>
      </c>
      <c r="H269" s="258">
        <v>200</v>
      </c>
      <c r="I269" s="259">
        <v>16.2</v>
      </c>
      <c r="J269" s="259">
        <v>0.06</v>
      </c>
      <c r="K269" s="259">
        <f t="shared" si="72"/>
        <v>3239.94</v>
      </c>
      <c r="L269" s="258"/>
      <c r="M269" s="258"/>
    </row>
    <row r="270" spans="1:13" x14ac:dyDescent="0.25">
      <c r="A270" s="258"/>
      <c r="B270" s="574">
        <v>42228</v>
      </c>
      <c r="C270" s="258">
        <v>200</v>
      </c>
      <c r="D270" s="259">
        <v>18.190000000000001</v>
      </c>
      <c r="E270" s="259">
        <v>0</v>
      </c>
      <c r="F270" s="259">
        <f t="shared" si="73"/>
        <v>3638.0000000000005</v>
      </c>
      <c r="G270" s="263">
        <v>42353</v>
      </c>
      <c r="H270" s="258">
        <v>200</v>
      </c>
      <c r="I270" s="259">
        <v>14.74</v>
      </c>
      <c r="J270" s="259">
        <v>0.05</v>
      </c>
      <c r="K270" s="259">
        <f t="shared" si="72"/>
        <v>2947.95</v>
      </c>
      <c r="L270" s="258"/>
      <c r="M270" s="258"/>
    </row>
    <row r="271" spans="1:13" x14ac:dyDescent="0.25">
      <c r="A271" s="258"/>
      <c r="B271" s="574">
        <v>42228</v>
      </c>
      <c r="C271" s="258">
        <v>200</v>
      </c>
      <c r="D271" s="259">
        <v>18.100000000000001</v>
      </c>
      <c r="E271" s="259">
        <v>0</v>
      </c>
      <c r="F271" s="259">
        <f t="shared" si="73"/>
        <v>3620.0000000000005</v>
      </c>
      <c r="G271" s="263">
        <v>42354</v>
      </c>
      <c r="H271" s="258">
        <v>940</v>
      </c>
      <c r="I271" s="259">
        <v>14.15</v>
      </c>
      <c r="J271" s="259">
        <v>0.24</v>
      </c>
      <c r="K271" s="259">
        <f t="shared" si="72"/>
        <v>13300.76</v>
      </c>
      <c r="L271" s="258"/>
      <c r="M271" s="258"/>
    </row>
    <row r="272" spans="1:13" x14ac:dyDescent="0.25">
      <c r="A272" s="258"/>
      <c r="B272" s="574">
        <v>42229</v>
      </c>
      <c r="C272" s="258">
        <v>100</v>
      </c>
      <c r="D272" s="259">
        <v>18.329999999999998</v>
      </c>
      <c r="E272" s="259">
        <v>0</v>
      </c>
      <c r="F272" s="259">
        <f t="shared" si="73"/>
        <v>1832.9999999999998</v>
      </c>
      <c r="G272" s="263">
        <v>42354</v>
      </c>
      <c r="H272" s="258">
        <v>1140</v>
      </c>
      <c r="I272" s="259">
        <v>14.06</v>
      </c>
      <c r="J272" s="259">
        <v>1.86</v>
      </c>
      <c r="K272" s="259">
        <f t="shared" si="72"/>
        <v>16026.54</v>
      </c>
      <c r="L272" s="258"/>
      <c r="M272" s="258"/>
    </row>
    <row r="273" spans="1:13" x14ac:dyDescent="0.25">
      <c r="A273" s="258"/>
      <c r="B273" s="574">
        <v>42230</v>
      </c>
      <c r="C273" s="258">
        <v>100</v>
      </c>
      <c r="D273" s="259">
        <v>18</v>
      </c>
      <c r="E273" s="259">
        <v>0</v>
      </c>
      <c r="F273" s="259">
        <f t="shared" si="73"/>
        <v>1800</v>
      </c>
      <c r="G273" s="263">
        <v>42355</v>
      </c>
      <c r="H273" s="258">
        <v>1840</v>
      </c>
      <c r="I273" s="259">
        <v>14.55</v>
      </c>
      <c r="J273" s="259">
        <v>0.49</v>
      </c>
      <c r="K273" s="259">
        <f t="shared" si="72"/>
        <v>26771.51</v>
      </c>
      <c r="L273" s="258"/>
      <c r="M273" s="258"/>
    </row>
    <row r="274" spans="1:13" x14ac:dyDescent="0.25">
      <c r="A274" s="258"/>
      <c r="B274" s="574">
        <v>42230</v>
      </c>
      <c r="C274" s="258">
        <v>200</v>
      </c>
      <c r="D274" s="259">
        <v>17.78</v>
      </c>
      <c r="E274" s="259">
        <v>0</v>
      </c>
      <c r="F274" s="259">
        <f t="shared" si="73"/>
        <v>3556</v>
      </c>
      <c r="G274" s="263">
        <v>42361</v>
      </c>
      <c r="H274" s="258">
        <v>1000</v>
      </c>
      <c r="I274" s="259">
        <v>14.39</v>
      </c>
      <c r="J274" s="259">
        <v>0.27</v>
      </c>
      <c r="K274" s="259">
        <f t="shared" si="72"/>
        <v>14389.73</v>
      </c>
      <c r="L274" s="258"/>
      <c r="M274" s="258"/>
    </row>
    <row r="275" spans="1:13" x14ac:dyDescent="0.25">
      <c r="A275" s="258"/>
      <c r="B275" s="574">
        <v>42234</v>
      </c>
      <c r="C275" s="258">
        <v>100</v>
      </c>
      <c r="D275" s="259">
        <v>17.75</v>
      </c>
      <c r="E275" s="259">
        <v>0</v>
      </c>
      <c r="F275" s="259">
        <f t="shared" si="73"/>
        <v>1775</v>
      </c>
      <c r="G275" s="263">
        <v>42361</v>
      </c>
      <c r="H275" s="258">
        <v>500</v>
      </c>
      <c r="I275" s="259">
        <v>14.4</v>
      </c>
      <c r="J275" s="259">
        <v>0.14000000000000001</v>
      </c>
      <c r="K275" s="259">
        <f t="shared" si="72"/>
        <v>7199.86</v>
      </c>
      <c r="L275" s="258"/>
      <c r="M275" s="258"/>
    </row>
    <row r="276" spans="1:13" x14ac:dyDescent="0.25">
      <c r="A276" s="258"/>
      <c r="B276" s="574">
        <v>42235</v>
      </c>
      <c r="C276" s="258">
        <v>100</v>
      </c>
      <c r="D276" s="259">
        <v>17.350000000000001</v>
      </c>
      <c r="E276" s="259">
        <v>0</v>
      </c>
      <c r="F276" s="259">
        <f t="shared" si="73"/>
        <v>1735.0000000000002</v>
      </c>
      <c r="G276" s="263">
        <v>42362</v>
      </c>
      <c r="H276" s="258">
        <v>440</v>
      </c>
      <c r="I276" s="259">
        <v>14.66</v>
      </c>
      <c r="J276" s="259">
        <v>0.12</v>
      </c>
      <c r="K276" s="259">
        <f t="shared" si="72"/>
        <v>6450.28</v>
      </c>
      <c r="L276" s="258"/>
      <c r="M276" s="258"/>
    </row>
    <row r="277" spans="1:13" x14ac:dyDescent="0.25">
      <c r="A277" s="258"/>
      <c r="B277" s="574">
        <v>42235</v>
      </c>
      <c r="C277" s="258">
        <v>100</v>
      </c>
      <c r="D277" s="259">
        <v>17.55</v>
      </c>
      <c r="E277" s="259">
        <v>0</v>
      </c>
      <c r="F277" s="259">
        <f t="shared" si="73"/>
        <v>1755</v>
      </c>
      <c r="G277" s="263">
        <v>42362</v>
      </c>
      <c r="H277" s="258">
        <v>1000</v>
      </c>
      <c r="I277" s="259">
        <v>14.76</v>
      </c>
      <c r="J277" s="259">
        <v>0.27</v>
      </c>
      <c r="K277" s="259">
        <f t="shared" si="72"/>
        <v>14759.73</v>
      </c>
      <c r="L277" s="258"/>
      <c r="M277" s="258"/>
    </row>
    <row r="278" spans="1:13" x14ac:dyDescent="0.25">
      <c r="A278" s="258"/>
      <c r="B278" s="574">
        <v>42235</v>
      </c>
      <c r="C278" s="258">
        <v>100</v>
      </c>
      <c r="D278" s="259">
        <v>17.170000000000002</v>
      </c>
      <c r="E278" s="259">
        <v>0</v>
      </c>
      <c r="F278" s="259">
        <f t="shared" si="73"/>
        <v>1717.0000000000002</v>
      </c>
      <c r="G278" s="263">
        <v>42398</v>
      </c>
      <c r="H278" s="258">
        <v>260</v>
      </c>
      <c r="I278" s="259">
        <v>10.78</v>
      </c>
      <c r="J278" s="259">
        <v>0.05</v>
      </c>
      <c r="K278" s="259">
        <f t="shared" si="72"/>
        <v>2802.7499999999995</v>
      </c>
      <c r="L278" s="258"/>
      <c r="M278" s="258"/>
    </row>
    <row r="279" spans="1:13" x14ac:dyDescent="0.25">
      <c r="A279" s="258"/>
      <c r="B279" s="574">
        <v>42235</v>
      </c>
      <c r="C279" s="258">
        <v>100</v>
      </c>
      <c r="D279" s="259">
        <v>17</v>
      </c>
      <c r="E279" s="259">
        <v>0</v>
      </c>
      <c r="F279" s="259">
        <f t="shared" si="73"/>
        <v>1700</v>
      </c>
      <c r="G279" s="263">
        <v>42418</v>
      </c>
      <c r="H279" s="258">
        <v>500</v>
      </c>
      <c r="I279" s="259">
        <v>10.67</v>
      </c>
      <c r="J279" s="259">
        <v>0.12</v>
      </c>
      <c r="K279" s="259">
        <f t="shared" si="72"/>
        <v>5334.88</v>
      </c>
      <c r="L279" s="258"/>
      <c r="M279" s="258"/>
    </row>
    <row r="280" spans="1:13" x14ac:dyDescent="0.25">
      <c r="A280" s="258"/>
      <c r="B280" s="574">
        <v>42236</v>
      </c>
      <c r="C280" s="258">
        <v>100</v>
      </c>
      <c r="D280" s="259">
        <v>16.559999999999999</v>
      </c>
      <c r="E280" s="259">
        <v>0</v>
      </c>
      <c r="F280" s="259">
        <f t="shared" si="73"/>
        <v>1655.9999999999998</v>
      </c>
      <c r="G280" s="263">
        <v>42418</v>
      </c>
      <c r="H280" s="258">
        <v>760</v>
      </c>
      <c r="I280" s="259">
        <v>10.85</v>
      </c>
      <c r="J280" s="259">
        <v>0.18</v>
      </c>
      <c r="K280" s="259">
        <f t="shared" si="72"/>
        <v>8245.82</v>
      </c>
      <c r="L280" s="258"/>
      <c r="M280" s="258"/>
    </row>
    <row r="281" spans="1:13" x14ac:dyDescent="0.25">
      <c r="A281" s="258"/>
      <c r="B281" s="574">
        <v>42236</v>
      </c>
      <c r="C281" s="258">
        <v>200</v>
      </c>
      <c r="D281" s="259">
        <v>16.21</v>
      </c>
      <c r="E281" s="259">
        <v>0</v>
      </c>
      <c r="F281" s="259">
        <f t="shared" si="73"/>
        <v>3242</v>
      </c>
      <c r="G281" s="263">
        <v>42418</v>
      </c>
      <c r="H281" s="258">
        <v>200</v>
      </c>
      <c r="I281" s="259">
        <v>11.46</v>
      </c>
      <c r="J281" s="259">
        <v>0.21</v>
      </c>
      <c r="K281" s="259">
        <f t="shared" si="72"/>
        <v>2291.79</v>
      </c>
      <c r="L281" s="258"/>
      <c r="M281" s="258"/>
    </row>
    <row r="282" spans="1:13" x14ac:dyDescent="0.25">
      <c r="A282" s="258"/>
      <c r="B282" s="574">
        <v>42236</v>
      </c>
      <c r="C282" s="258">
        <v>100</v>
      </c>
      <c r="D282" s="259">
        <v>16.399999999999999</v>
      </c>
      <c r="E282" s="259">
        <v>0</v>
      </c>
      <c r="F282" s="259">
        <f t="shared" si="73"/>
        <v>1639.9999999999998</v>
      </c>
      <c r="G282" s="263">
        <v>42418</v>
      </c>
      <c r="H282" s="264">
        <v>200</v>
      </c>
      <c r="I282" s="259">
        <v>11.7</v>
      </c>
      <c r="J282" s="259">
        <v>0.05</v>
      </c>
      <c r="K282" s="259">
        <f t="shared" si="72"/>
        <v>2339.9499999999998</v>
      </c>
      <c r="L282" s="258"/>
      <c r="M282" s="258"/>
    </row>
    <row r="283" spans="1:13" x14ac:dyDescent="0.25">
      <c r="A283" s="258"/>
      <c r="B283" s="574">
        <v>42237</v>
      </c>
      <c r="C283" s="258">
        <v>200</v>
      </c>
      <c r="D283" s="259">
        <v>16.32</v>
      </c>
      <c r="E283" s="259">
        <v>0</v>
      </c>
      <c r="F283" s="259">
        <f t="shared" si="73"/>
        <v>3264</v>
      </c>
      <c r="G283" s="263">
        <v>42431</v>
      </c>
      <c r="H283" s="264">
        <v>500</v>
      </c>
      <c r="I283" s="259">
        <v>11.57</v>
      </c>
      <c r="J283" s="259">
        <v>0.13</v>
      </c>
      <c r="K283" s="259">
        <f t="shared" si="72"/>
        <v>5784.87</v>
      </c>
      <c r="L283" s="258"/>
      <c r="M283" s="258"/>
    </row>
    <row r="284" spans="1:13" x14ac:dyDescent="0.25">
      <c r="A284" s="258"/>
      <c r="B284" s="574">
        <v>42237</v>
      </c>
      <c r="C284" s="258">
        <v>100</v>
      </c>
      <c r="D284" s="259">
        <v>16.420000000000002</v>
      </c>
      <c r="E284" s="259">
        <v>0</v>
      </c>
      <c r="F284" s="259">
        <f t="shared" si="73"/>
        <v>1642.0000000000002</v>
      </c>
      <c r="G284" s="263">
        <v>42436</v>
      </c>
      <c r="H284" s="264">
        <v>520</v>
      </c>
      <c r="I284" s="259">
        <v>11.59</v>
      </c>
      <c r="J284" s="259">
        <v>0.13</v>
      </c>
      <c r="K284" s="259">
        <f t="shared" si="72"/>
        <v>6026.67</v>
      </c>
      <c r="L284" s="258"/>
      <c r="M284" s="258"/>
    </row>
    <row r="285" spans="1:13" x14ac:dyDescent="0.25">
      <c r="A285" s="258"/>
      <c r="B285" s="574">
        <v>42240</v>
      </c>
      <c r="C285" s="258">
        <v>200</v>
      </c>
      <c r="D285" s="259">
        <v>16.27</v>
      </c>
      <c r="E285" s="259">
        <v>0</v>
      </c>
      <c r="F285" s="259">
        <f t="shared" si="73"/>
        <v>3254</v>
      </c>
      <c r="G285" s="263">
        <v>42446</v>
      </c>
      <c r="H285" s="264">
        <v>500</v>
      </c>
      <c r="I285" s="259">
        <v>10.95</v>
      </c>
      <c r="J285" s="259">
        <v>0.12</v>
      </c>
      <c r="K285" s="259">
        <f t="shared" si="72"/>
        <v>5474.88</v>
      </c>
      <c r="L285" s="258"/>
      <c r="M285" s="258"/>
    </row>
    <row r="286" spans="1:13" x14ac:dyDescent="0.25">
      <c r="A286" s="258"/>
      <c r="B286" s="574">
        <v>42240</v>
      </c>
      <c r="C286" s="258">
        <v>200</v>
      </c>
      <c r="D286" s="259">
        <v>16.2</v>
      </c>
      <c r="E286" s="259">
        <v>0</v>
      </c>
      <c r="F286" s="259">
        <f t="shared" si="73"/>
        <v>3240</v>
      </c>
      <c r="G286" s="263">
        <v>42447</v>
      </c>
      <c r="H286" s="264">
        <v>2000</v>
      </c>
      <c r="I286" s="259">
        <v>11.12</v>
      </c>
      <c r="J286" s="259">
        <v>0.48</v>
      </c>
      <c r="K286" s="259">
        <f t="shared" si="72"/>
        <v>22239.52</v>
      </c>
      <c r="L286" s="258"/>
      <c r="M286" s="258"/>
    </row>
    <row r="287" spans="1:13" x14ac:dyDescent="0.25">
      <c r="A287" s="258"/>
      <c r="B287" s="574">
        <v>42240</v>
      </c>
      <c r="C287" s="258">
        <v>100</v>
      </c>
      <c r="D287" s="259">
        <v>16.100000000000001</v>
      </c>
      <c r="E287" s="259">
        <v>0</v>
      </c>
      <c r="F287" s="259">
        <f t="shared" si="73"/>
        <v>1610.0000000000002</v>
      </c>
      <c r="G287" s="699">
        <v>42447</v>
      </c>
      <c r="H287" s="264">
        <v>355</v>
      </c>
      <c r="I287" s="259">
        <v>11.13</v>
      </c>
      <c r="J287" s="259">
        <v>0.12</v>
      </c>
      <c r="K287" s="259">
        <f t="shared" si="72"/>
        <v>3951.03</v>
      </c>
      <c r="L287" s="258"/>
      <c r="M287" s="258"/>
    </row>
    <row r="288" spans="1:13" x14ac:dyDescent="0.25">
      <c r="A288" s="258"/>
      <c r="B288" s="574">
        <v>42269</v>
      </c>
      <c r="C288" s="258">
        <v>800</v>
      </c>
      <c r="D288" s="259">
        <v>16.399999999999999</v>
      </c>
      <c r="E288" s="259">
        <v>0</v>
      </c>
      <c r="F288" s="259">
        <f t="shared" si="73"/>
        <v>13119.999999999998</v>
      </c>
      <c r="G288" s="699"/>
      <c r="H288" s="264">
        <v>40</v>
      </c>
      <c r="I288" s="259">
        <v>11.13</v>
      </c>
      <c r="J288" s="259">
        <v>0</v>
      </c>
      <c r="K288" s="259">
        <f t="shared" si="72"/>
        <v>445.20000000000005</v>
      </c>
      <c r="L288" s="258"/>
      <c r="M288" s="258"/>
    </row>
    <row r="289" spans="1:13" x14ac:dyDescent="0.25">
      <c r="A289" s="258"/>
      <c r="B289" s="574">
        <v>42270</v>
      </c>
      <c r="C289" s="258">
        <v>500</v>
      </c>
      <c r="D289" s="259">
        <v>15.8</v>
      </c>
      <c r="E289" s="259">
        <v>0</v>
      </c>
      <c r="F289" s="259">
        <f t="shared" si="73"/>
        <v>7900</v>
      </c>
      <c r="G289" s="699"/>
      <c r="H289" s="264">
        <v>105</v>
      </c>
      <c r="I289" s="259">
        <v>11.13</v>
      </c>
      <c r="J289" s="259">
        <v>0</v>
      </c>
      <c r="K289" s="259">
        <f t="shared" si="72"/>
        <v>1168.6500000000001</v>
      </c>
      <c r="L289" s="258"/>
      <c r="M289" s="258"/>
    </row>
    <row r="290" spans="1:13" x14ac:dyDescent="0.25">
      <c r="A290" s="258"/>
      <c r="B290" s="574">
        <v>42270</v>
      </c>
      <c r="C290" s="258">
        <v>1000</v>
      </c>
      <c r="D290" s="259">
        <v>15.6</v>
      </c>
      <c r="E290" s="259">
        <v>0</v>
      </c>
      <c r="F290" s="259">
        <f t="shared" si="73"/>
        <v>15600</v>
      </c>
      <c r="G290" s="263">
        <v>42450</v>
      </c>
      <c r="H290" s="264">
        <v>1300</v>
      </c>
      <c r="I290" s="259">
        <v>11.59</v>
      </c>
      <c r="J290" s="259">
        <v>0.33</v>
      </c>
      <c r="K290" s="259">
        <f t="shared" si="72"/>
        <v>15066.67</v>
      </c>
      <c r="L290" s="258"/>
      <c r="M290" s="258"/>
    </row>
    <row r="291" spans="1:13" x14ac:dyDescent="0.25">
      <c r="A291" s="258"/>
      <c r="B291" s="574">
        <v>42270</v>
      </c>
      <c r="C291" s="258">
        <v>180</v>
      </c>
      <c r="D291" s="259">
        <v>15.4</v>
      </c>
      <c r="E291" s="259">
        <v>0</v>
      </c>
      <c r="F291" s="259">
        <f t="shared" si="73"/>
        <v>2772</v>
      </c>
      <c r="G291" s="263">
        <v>42461</v>
      </c>
      <c r="H291" s="264">
        <v>100</v>
      </c>
      <c r="I291" s="259">
        <v>10.92</v>
      </c>
      <c r="J291" s="259">
        <v>0.02</v>
      </c>
      <c r="K291" s="259">
        <f t="shared" si="72"/>
        <v>1091.98</v>
      </c>
      <c r="L291" s="258"/>
      <c r="M291" s="258"/>
    </row>
    <row r="292" spans="1:13" x14ac:dyDescent="0.25">
      <c r="A292" s="258"/>
      <c r="B292" s="574">
        <v>42275</v>
      </c>
      <c r="C292" s="258">
        <v>200</v>
      </c>
      <c r="D292" s="259">
        <v>15</v>
      </c>
      <c r="E292" s="259">
        <v>0</v>
      </c>
      <c r="F292" s="259">
        <f t="shared" si="73"/>
        <v>3000</v>
      </c>
      <c r="G292" s="263">
        <v>42468</v>
      </c>
      <c r="H292" s="264">
        <v>500</v>
      </c>
      <c r="I292" s="259">
        <v>10.83</v>
      </c>
      <c r="J292" s="259">
        <v>0.12</v>
      </c>
      <c r="K292" s="259">
        <f t="shared" si="72"/>
        <v>5414.88</v>
      </c>
      <c r="L292" s="258"/>
      <c r="M292" s="258"/>
    </row>
    <row r="293" spans="1:13" x14ac:dyDescent="0.25">
      <c r="A293" s="258"/>
      <c r="B293" s="574">
        <v>42277</v>
      </c>
      <c r="C293" s="258">
        <v>200</v>
      </c>
      <c r="D293" s="259">
        <v>14.75</v>
      </c>
      <c r="E293" s="259">
        <v>0</v>
      </c>
      <c r="F293" s="259">
        <f t="shared" si="73"/>
        <v>2950</v>
      </c>
      <c r="G293" s="263">
        <v>42473</v>
      </c>
      <c r="H293" s="264">
        <v>600</v>
      </c>
      <c r="I293" s="259">
        <v>10.76</v>
      </c>
      <c r="J293" s="259">
        <v>0.14000000000000001</v>
      </c>
      <c r="K293" s="259">
        <f t="shared" si="72"/>
        <v>6455.86</v>
      </c>
      <c r="L293" s="258"/>
      <c r="M293" s="259"/>
    </row>
    <row r="294" spans="1:13" x14ac:dyDescent="0.25">
      <c r="A294" s="258"/>
      <c r="B294" s="574">
        <v>42291</v>
      </c>
      <c r="C294" s="258">
        <v>400</v>
      </c>
      <c r="D294" s="259">
        <v>18.7</v>
      </c>
      <c r="E294" s="259">
        <v>0</v>
      </c>
      <c r="F294" s="259">
        <f t="shared" si="73"/>
        <v>7480</v>
      </c>
      <c r="G294" s="263">
        <v>42486</v>
      </c>
      <c r="H294" s="264">
        <v>500</v>
      </c>
      <c r="I294" s="259">
        <v>11.19</v>
      </c>
      <c r="J294" s="259">
        <v>0.12</v>
      </c>
      <c r="K294" s="259">
        <f t="shared" si="72"/>
        <v>5594.88</v>
      </c>
      <c r="L294" s="258"/>
      <c r="M294" s="258"/>
    </row>
    <row r="295" spans="1:13" x14ac:dyDescent="0.25">
      <c r="A295" s="258"/>
      <c r="B295" s="574">
        <v>42297</v>
      </c>
      <c r="C295" s="258">
        <v>2000</v>
      </c>
      <c r="D295" s="259">
        <v>18.649999999999999</v>
      </c>
      <c r="E295" s="259">
        <v>0</v>
      </c>
      <c r="F295" s="259">
        <f t="shared" si="73"/>
        <v>37300</v>
      </c>
      <c r="G295" s="263">
        <v>42486</v>
      </c>
      <c r="H295" s="264">
        <v>500</v>
      </c>
      <c r="I295" s="259">
        <v>11.56</v>
      </c>
      <c r="J295" s="259">
        <v>0.13</v>
      </c>
      <c r="K295" s="259">
        <f t="shared" si="72"/>
        <v>5779.87</v>
      </c>
      <c r="L295" s="258"/>
      <c r="M295" s="258"/>
    </row>
    <row r="296" spans="1:13" x14ac:dyDescent="0.25">
      <c r="A296" s="258"/>
      <c r="B296" s="574">
        <v>42300</v>
      </c>
      <c r="C296" s="258">
        <v>1000</v>
      </c>
      <c r="D296" s="259">
        <v>17.7</v>
      </c>
      <c r="E296" s="259">
        <v>0</v>
      </c>
      <c r="F296" s="259">
        <f t="shared" si="73"/>
        <v>17700</v>
      </c>
      <c r="G296" s="263">
        <v>42488</v>
      </c>
      <c r="H296" s="264">
        <v>600</v>
      </c>
      <c r="I296" s="259">
        <v>12.19</v>
      </c>
      <c r="J296" s="259">
        <v>0.16</v>
      </c>
      <c r="K296" s="259">
        <f t="shared" si="72"/>
        <v>7313.84</v>
      </c>
      <c r="L296" s="258"/>
      <c r="M296" s="258"/>
    </row>
    <row r="297" spans="1:13" x14ac:dyDescent="0.25">
      <c r="A297" s="258"/>
      <c r="B297" s="574">
        <v>42300</v>
      </c>
      <c r="C297" s="258">
        <v>700</v>
      </c>
      <c r="D297" s="259">
        <v>17.22</v>
      </c>
      <c r="E297" s="259">
        <v>0</v>
      </c>
      <c r="F297" s="259">
        <f t="shared" si="73"/>
        <v>12054</v>
      </c>
      <c r="G297" s="263">
        <v>42488</v>
      </c>
      <c r="H297" s="264">
        <v>600</v>
      </c>
      <c r="I297" s="259">
        <v>12.4</v>
      </c>
      <c r="J297" s="259">
        <v>2.2599999999999998</v>
      </c>
      <c r="K297" s="259">
        <f t="shared" si="72"/>
        <v>7437.74</v>
      </c>
      <c r="L297" s="258"/>
      <c r="M297" s="258"/>
    </row>
    <row r="298" spans="1:13" x14ac:dyDescent="0.25">
      <c r="A298" s="258"/>
      <c r="B298" s="574">
        <v>42300</v>
      </c>
      <c r="C298" s="258">
        <v>1000</v>
      </c>
      <c r="D298" s="259">
        <v>16.999500000000001</v>
      </c>
      <c r="E298" s="259">
        <v>0</v>
      </c>
      <c r="F298" s="259">
        <f t="shared" si="73"/>
        <v>16999.5</v>
      </c>
      <c r="G298" s="263">
        <v>42495</v>
      </c>
      <c r="H298" s="264">
        <v>1000</v>
      </c>
      <c r="I298" s="259">
        <v>10.31</v>
      </c>
      <c r="J298" s="259">
        <v>0.22</v>
      </c>
      <c r="K298" s="259">
        <f t="shared" si="72"/>
        <v>10309.780000000001</v>
      </c>
      <c r="L298" s="258"/>
      <c r="M298" s="258"/>
    </row>
    <row r="299" spans="1:13" x14ac:dyDescent="0.25">
      <c r="A299" s="258"/>
      <c r="B299" s="574">
        <v>42310</v>
      </c>
      <c r="C299" s="258">
        <v>900</v>
      </c>
      <c r="D299" s="259">
        <v>16.89667</v>
      </c>
      <c r="E299" s="259">
        <v>6.95</v>
      </c>
      <c r="F299" s="259">
        <f t="shared" si="73"/>
        <v>15213.953000000001</v>
      </c>
      <c r="G299" s="263">
        <v>42503</v>
      </c>
      <c r="H299" s="264">
        <v>2000</v>
      </c>
      <c r="I299" s="259">
        <v>9.73</v>
      </c>
      <c r="J299" s="259">
        <v>0.42</v>
      </c>
      <c r="K299" s="259">
        <f t="shared" si="72"/>
        <v>19459.580000000002</v>
      </c>
      <c r="L299" s="258"/>
      <c r="M299" s="258"/>
    </row>
    <row r="300" spans="1:13" x14ac:dyDescent="0.25">
      <c r="A300" s="258"/>
      <c r="B300" s="574">
        <v>42311</v>
      </c>
      <c r="C300" s="258">
        <v>200</v>
      </c>
      <c r="D300" s="259">
        <v>16.27</v>
      </c>
      <c r="E300" s="259">
        <v>6.95</v>
      </c>
      <c r="F300" s="259">
        <f t="shared" si="73"/>
        <v>3260.95</v>
      </c>
      <c r="G300" s="263">
        <v>42503</v>
      </c>
      <c r="H300" s="264">
        <v>2000</v>
      </c>
      <c r="I300" s="259">
        <v>9.76</v>
      </c>
      <c r="J300" s="259">
        <v>0.43</v>
      </c>
      <c r="K300" s="259">
        <f t="shared" si="72"/>
        <v>19519.57</v>
      </c>
      <c r="L300" s="258"/>
      <c r="M300" s="258"/>
    </row>
    <row r="301" spans="1:13" x14ac:dyDescent="0.25">
      <c r="A301" s="258"/>
      <c r="B301" s="701">
        <v>42317</v>
      </c>
      <c r="C301" s="258">
        <v>190</v>
      </c>
      <c r="D301" s="259">
        <v>17.100000000000001</v>
      </c>
      <c r="E301" s="259">
        <v>0</v>
      </c>
      <c r="F301" s="259">
        <f t="shared" si="73"/>
        <v>3249.0000000000005</v>
      </c>
      <c r="G301" s="699">
        <v>42510</v>
      </c>
      <c r="H301" s="264">
        <v>240</v>
      </c>
      <c r="I301" s="259">
        <v>10.75</v>
      </c>
      <c r="J301" s="259">
        <v>0.12</v>
      </c>
      <c r="K301" s="259">
        <f t="shared" si="72"/>
        <v>2579.88</v>
      </c>
      <c r="L301" s="258"/>
      <c r="M301" s="258"/>
    </row>
    <row r="302" spans="1:13" x14ac:dyDescent="0.25">
      <c r="A302" s="258"/>
      <c r="B302" s="701"/>
      <c r="C302" s="258">
        <v>2</v>
      </c>
      <c r="D302" s="259">
        <v>17.100000000000001</v>
      </c>
      <c r="E302" s="259">
        <v>0</v>
      </c>
      <c r="F302" s="259">
        <f t="shared" si="73"/>
        <v>34.200000000000003</v>
      </c>
      <c r="G302" s="699"/>
      <c r="H302" s="264">
        <v>260</v>
      </c>
      <c r="I302" s="259">
        <v>10.75</v>
      </c>
      <c r="J302" s="259">
        <v>0</v>
      </c>
      <c r="K302" s="259">
        <f t="shared" si="72"/>
        <v>2795</v>
      </c>
      <c r="L302" s="258"/>
      <c r="M302" s="258"/>
    </row>
    <row r="303" spans="1:13" x14ac:dyDescent="0.25">
      <c r="A303" s="258"/>
      <c r="B303" s="701">
        <v>42318</v>
      </c>
      <c r="C303" s="258">
        <v>8</v>
      </c>
      <c r="D303" s="259">
        <v>16.989999999999998</v>
      </c>
      <c r="E303" s="259">
        <v>0</v>
      </c>
      <c r="F303" s="259">
        <f t="shared" si="73"/>
        <v>135.91999999999999</v>
      </c>
      <c r="G303" s="263">
        <v>42514</v>
      </c>
      <c r="H303" s="264">
        <v>500</v>
      </c>
      <c r="I303" s="259">
        <v>11.37</v>
      </c>
      <c r="J303" s="259">
        <v>0.12</v>
      </c>
      <c r="K303" s="259">
        <f t="shared" si="72"/>
        <v>5684.88</v>
      </c>
      <c r="L303" s="258"/>
      <c r="M303" s="258"/>
    </row>
    <row r="304" spans="1:13" x14ac:dyDescent="0.25">
      <c r="A304" s="258"/>
      <c r="B304" s="701"/>
      <c r="C304" s="258">
        <v>500</v>
      </c>
      <c r="D304" s="259">
        <v>16.989999999999998</v>
      </c>
      <c r="E304" s="259">
        <v>0</v>
      </c>
      <c r="F304" s="259">
        <f>C304*D304+E304</f>
        <v>8495</v>
      </c>
      <c r="G304" s="263">
        <v>42514</v>
      </c>
      <c r="H304" s="264">
        <v>500</v>
      </c>
      <c r="I304" s="259">
        <v>11.54</v>
      </c>
      <c r="J304" s="259">
        <v>0.13</v>
      </c>
      <c r="K304" s="259">
        <f t="shared" si="72"/>
        <v>5769.87</v>
      </c>
      <c r="L304" s="258"/>
      <c r="M304" s="258"/>
    </row>
    <row r="305" spans="1:13" x14ac:dyDescent="0.25">
      <c r="A305" s="258"/>
      <c r="B305" s="701"/>
      <c r="C305" s="258">
        <v>300</v>
      </c>
      <c r="D305" s="259">
        <v>16.989999999999998</v>
      </c>
      <c r="E305" s="259">
        <v>0</v>
      </c>
      <c r="F305" s="259">
        <f>C305*D305+E305</f>
        <v>5096.9999999999991</v>
      </c>
      <c r="G305" s="263">
        <v>42514</v>
      </c>
      <c r="H305" s="264">
        <v>500</v>
      </c>
      <c r="I305" s="259">
        <v>11.76</v>
      </c>
      <c r="J305" s="259">
        <v>0.13</v>
      </c>
      <c r="K305" s="259">
        <f t="shared" si="72"/>
        <v>5879.87</v>
      </c>
      <c r="L305" s="258"/>
      <c r="M305" s="258"/>
    </row>
    <row r="306" spans="1:13" x14ac:dyDescent="0.25">
      <c r="A306" s="258"/>
      <c r="B306" s="701"/>
      <c r="C306" s="258">
        <v>1000</v>
      </c>
      <c r="D306" s="259">
        <v>16.989999999999998</v>
      </c>
      <c r="E306" s="259">
        <v>0</v>
      </c>
      <c r="F306" s="259">
        <f>C306*D306+E306</f>
        <v>16990</v>
      </c>
      <c r="G306" s="263">
        <v>42515</v>
      </c>
      <c r="H306" s="264">
        <v>500</v>
      </c>
      <c r="I306" s="259">
        <v>11.96</v>
      </c>
      <c r="J306" s="259">
        <v>0.13</v>
      </c>
      <c r="K306" s="259">
        <f t="shared" si="72"/>
        <v>5979.87</v>
      </c>
      <c r="L306" s="258"/>
      <c r="M306" s="258"/>
    </row>
    <row r="307" spans="1:13" x14ac:dyDescent="0.25">
      <c r="A307" s="258"/>
      <c r="B307" s="574">
        <v>42318</v>
      </c>
      <c r="C307" s="258">
        <v>500</v>
      </c>
      <c r="D307" s="259">
        <v>16.59</v>
      </c>
      <c r="E307" s="259">
        <v>0</v>
      </c>
      <c r="F307" s="259">
        <f t="shared" ref="F307:F370" si="74">C307*D307+E307</f>
        <v>8295</v>
      </c>
      <c r="G307" s="263">
        <v>42517</v>
      </c>
      <c r="H307" s="264">
        <v>1000</v>
      </c>
      <c r="I307" s="259">
        <v>12.31</v>
      </c>
      <c r="J307" s="259">
        <v>0.27</v>
      </c>
      <c r="K307" s="259">
        <f t="shared" si="72"/>
        <v>12309.73</v>
      </c>
      <c r="L307" s="258"/>
      <c r="M307" s="258"/>
    </row>
    <row r="308" spans="1:13" x14ac:dyDescent="0.25">
      <c r="A308" s="258"/>
      <c r="B308" s="574">
        <v>42318</v>
      </c>
      <c r="C308" s="258">
        <v>500</v>
      </c>
      <c r="D308" s="259">
        <v>16.489999999999998</v>
      </c>
      <c r="E308" s="259">
        <v>0</v>
      </c>
      <c r="F308" s="259">
        <f t="shared" si="74"/>
        <v>8245</v>
      </c>
      <c r="G308" s="263">
        <v>42517</v>
      </c>
      <c r="H308" s="264">
        <v>1000</v>
      </c>
      <c r="I308" s="259">
        <v>12.33</v>
      </c>
      <c r="J308" s="259">
        <v>0.27</v>
      </c>
      <c r="K308" s="259">
        <f t="shared" si="72"/>
        <v>12329.73</v>
      </c>
      <c r="L308" s="258"/>
      <c r="M308" s="258"/>
    </row>
    <row r="309" spans="1:13" x14ac:dyDescent="0.25">
      <c r="A309" s="258"/>
      <c r="B309" s="574">
        <v>42321</v>
      </c>
      <c r="C309" s="258">
        <v>350</v>
      </c>
      <c r="D309" s="259">
        <v>15.82</v>
      </c>
      <c r="E309" s="259">
        <v>0</v>
      </c>
      <c r="F309" s="259">
        <f t="shared" si="74"/>
        <v>5537</v>
      </c>
      <c r="G309" s="263">
        <v>42521</v>
      </c>
      <c r="H309" s="264">
        <v>500</v>
      </c>
      <c r="I309" s="259">
        <v>12.76</v>
      </c>
      <c r="J309" s="259">
        <v>0.14000000000000001</v>
      </c>
      <c r="K309" s="259">
        <f t="shared" si="72"/>
        <v>6379.86</v>
      </c>
      <c r="L309" s="258"/>
      <c r="M309" s="258"/>
    </row>
    <row r="310" spans="1:13" x14ac:dyDescent="0.25">
      <c r="A310" s="258"/>
      <c r="B310" s="574">
        <v>42327</v>
      </c>
      <c r="C310" s="258">
        <v>500</v>
      </c>
      <c r="D310" s="259">
        <v>14.82</v>
      </c>
      <c r="E310" s="259">
        <v>0</v>
      </c>
      <c r="F310" s="259">
        <f t="shared" si="74"/>
        <v>7410</v>
      </c>
      <c r="G310" s="263">
        <v>42521</v>
      </c>
      <c r="H310" s="264">
        <v>500</v>
      </c>
      <c r="I310" s="259">
        <v>12.76</v>
      </c>
      <c r="J310" s="259">
        <v>0.14000000000000001</v>
      </c>
      <c r="K310" s="259">
        <f t="shared" si="72"/>
        <v>6379.86</v>
      </c>
      <c r="L310" s="258"/>
      <c r="M310" s="258"/>
    </row>
    <row r="311" spans="1:13" x14ac:dyDescent="0.25">
      <c r="A311" s="258"/>
      <c r="B311" s="574">
        <v>42327</v>
      </c>
      <c r="C311" s="258">
        <v>440</v>
      </c>
      <c r="D311" s="259">
        <v>14.68</v>
      </c>
      <c r="E311" s="259">
        <v>0</v>
      </c>
      <c r="F311" s="259">
        <f t="shared" si="74"/>
        <v>6459.2</v>
      </c>
      <c r="G311" s="258"/>
      <c r="H311" s="258"/>
      <c r="I311" s="259"/>
      <c r="J311" s="259"/>
      <c r="K311" s="259"/>
      <c r="L311" s="258"/>
      <c r="M311" s="258"/>
    </row>
    <row r="312" spans="1:13" x14ac:dyDescent="0.25">
      <c r="A312" s="258"/>
      <c r="B312" s="574">
        <v>42333</v>
      </c>
      <c r="C312" s="258">
        <v>940</v>
      </c>
      <c r="D312" s="258">
        <v>15.35</v>
      </c>
      <c r="E312" s="259">
        <v>0</v>
      </c>
      <c r="F312" s="259">
        <f t="shared" si="74"/>
        <v>14429</v>
      </c>
      <c r="G312" s="258"/>
      <c r="H312" s="258"/>
      <c r="I312" s="259"/>
      <c r="J312" s="259"/>
      <c r="K312" s="259"/>
      <c r="L312" s="258"/>
      <c r="M312" s="258"/>
    </row>
    <row r="313" spans="1:13" x14ac:dyDescent="0.25">
      <c r="A313" s="258"/>
      <c r="B313" s="574">
        <v>42340</v>
      </c>
      <c r="C313" s="258">
        <v>350</v>
      </c>
      <c r="D313" s="258">
        <v>15.85</v>
      </c>
      <c r="E313" s="259">
        <v>0</v>
      </c>
      <c r="F313" s="259">
        <f t="shared" si="74"/>
        <v>5547.5</v>
      </c>
      <c r="G313" s="258"/>
      <c r="H313" s="258"/>
      <c r="I313" s="259"/>
      <c r="J313" s="259"/>
      <c r="K313" s="259"/>
      <c r="L313" s="258"/>
      <c r="M313" s="258"/>
    </row>
    <row r="314" spans="1:13" x14ac:dyDescent="0.25">
      <c r="A314" s="258"/>
      <c r="B314" s="574">
        <v>42346</v>
      </c>
      <c r="C314" s="258">
        <v>200</v>
      </c>
      <c r="D314" s="258">
        <v>15.55</v>
      </c>
      <c r="E314" s="259">
        <v>0</v>
      </c>
      <c r="F314" s="259">
        <f t="shared" si="74"/>
        <v>3110</v>
      </c>
      <c r="G314" s="258"/>
      <c r="H314" s="258"/>
      <c r="I314" s="259"/>
      <c r="J314" s="259"/>
      <c r="K314" s="259"/>
      <c r="L314" s="258"/>
      <c r="M314" s="258"/>
    </row>
    <row r="315" spans="1:13" x14ac:dyDescent="0.25">
      <c r="A315" s="258"/>
      <c r="B315" s="574">
        <v>42352</v>
      </c>
      <c r="C315" s="258">
        <v>200</v>
      </c>
      <c r="D315" s="259">
        <v>14.4</v>
      </c>
      <c r="E315" s="259">
        <v>0</v>
      </c>
      <c r="F315" s="259">
        <f t="shared" si="74"/>
        <v>2880</v>
      </c>
      <c r="G315" s="258"/>
      <c r="H315" s="258"/>
      <c r="I315" s="259"/>
      <c r="J315" s="259"/>
      <c r="K315" s="259"/>
      <c r="L315" s="258"/>
      <c r="M315" s="258"/>
    </row>
    <row r="316" spans="1:13" x14ac:dyDescent="0.25">
      <c r="A316" s="258"/>
      <c r="B316" s="574">
        <v>42354</v>
      </c>
      <c r="C316" s="258">
        <v>940</v>
      </c>
      <c r="D316" s="259">
        <v>14.1</v>
      </c>
      <c r="E316" s="259">
        <v>0</v>
      </c>
      <c r="F316" s="259">
        <f t="shared" si="74"/>
        <v>13254</v>
      </c>
      <c r="G316" s="258"/>
      <c r="H316" s="258"/>
      <c r="I316" s="259"/>
      <c r="J316" s="259"/>
      <c r="K316" s="259"/>
      <c r="L316" s="258"/>
      <c r="M316" s="258"/>
    </row>
    <row r="317" spans="1:13" x14ac:dyDescent="0.25">
      <c r="A317" s="258"/>
      <c r="B317" s="574">
        <v>42354</v>
      </c>
      <c r="C317" s="258">
        <v>940</v>
      </c>
      <c r="D317" s="258">
        <v>14.03</v>
      </c>
      <c r="E317" s="259">
        <v>0</v>
      </c>
      <c r="F317" s="259">
        <f t="shared" si="74"/>
        <v>13188.199999999999</v>
      </c>
      <c r="G317" s="258"/>
      <c r="H317" s="258"/>
      <c r="I317" s="259"/>
      <c r="J317" s="259"/>
      <c r="K317" s="259"/>
      <c r="L317" s="258"/>
      <c r="M317" s="258"/>
    </row>
    <row r="318" spans="1:13" x14ac:dyDescent="0.25">
      <c r="A318" s="258"/>
      <c r="B318" s="574">
        <v>42354</v>
      </c>
      <c r="C318" s="258">
        <v>200</v>
      </c>
      <c r="D318" s="258">
        <v>14.01</v>
      </c>
      <c r="E318" s="259">
        <v>0</v>
      </c>
      <c r="F318" s="259">
        <f t="shared" si="74"/>
        <v>2802</v>
      </c>
      <c r="G318" s="258"/>
      <c r="H318" s="258"/>
      <c r="I318" s="259"/>
      <c r="J318" s="259"/>
      <c r="K318" s="259"/>
      <c r="L318" s="258"/>
      <c r="M318" s="258"/>
    </row>
    <row r="319" spans="1:13" x14ac:dyDescent="0.25">
      <c r="A319" s="258"/>
      <c r="B319" s="574">
        <v>42355</v>
      </c>
      <c r="C319" s="258">
        <v>1840</v>
      </c>
      <c r="D319" s="259">
        <v>14.5</v>
      </c>
      <c r="E319" s="259">
        <v>3.4</v>
      </c>
      <c r="F319" s="259">
        <f t="shared" si="74"/>
        <v>26683.4</v>
      </c>
      <c r="G319" s="263"/>
      <c r="H319" s="264"/>
      <c r="I319" s="259"/>
      <c r="J319" s="259"/>
      <c r="K319" s="259"/>
      <c r="L319" s="258"/>
      <c r="M319" s="258"/>
    </row>
    <row r="320" spans="1:13" x14ac:dyDescent="0.25">
      <c r="A320" s="258"/>
      <c r="B320" s="701">
        <v>42361</v>
      </c>
      <c r="C320" s="258">
        <v>1000</v>
      </c>
      <c r="D320" s="259">
        <v>14.33</v>
      </c>
      <c r="E320" s="259">
        <v>0</v>
      </c>
      <c r="F320" s="259">
        <f t="shared" si="74"/>
        <v>14330</v>
      </c>
      <c r="G320" s="263"/>
      <c r="H320" s="264"/>
      <c r="I320" s="259"/>
      <c r="J320" s="259"/>
      <c r="K320" s="259"/>
      <c r="L320" s="258"/>
      <c r="M320" s="258"/>
    </row>
    <row r="321" spans="1:13" x14ac:dyDescent="0.25">
      <c r="A321" s="258"/>
      <c r="B321" s="701"/>
      <c r="C321" s="258">
        <v>500</v>
      </c>
      <c r="D321" s="259">
        <v>14.33</v>
      </c>
      <c r="E321" s="259">
        <v>0</v>
      </c>
      <c r="F321" s="259">
        <f t="shared" si="74"/>
        <v>7165</v>
      </c>
      <c r="G321" s="263"/>
      <c r="H321" s="264"/>
      <c r="I321" s="259"/>
      <c r="J321" s="259"/>
      <c r="K321" s="259"/>
      <c r="L321" s="258"/>
      <c r="M321" s="258"/>
    </row>
    <row r="322" spans="1:13" ht="15" customHeight="1" x14ac:dyDescent="0.25">
      <c r="A322" s="258"/>
      <c r="B322" s="701"/>
      <c r="C322" s="258">
        <v>440</v>
      </c>
      <c r="D322" s="259">
        <v>14.33</v>
      </c>
      <c r="E322" s="259">
        <v>0</v>
      </c>
      <c r="F322" s="259">
        <f t="shared" si="74"/>
        <v>6305.2</v>
      </c>
      <c r="G322" s="258"/>
      <c r="H322" s="264"/>
      <c r="I322" s="259"/>
      <c r="J322" s="259"/>
      <c r="K322" s="259"/>
      <c r="L322" s="258"/>
      <c r="M322" s="258"/>
    </row>
    <row r="323" spans="1:13" x14ac:dyDescent="0.25">
      <c r="A323" s="258"/>
      <c r="B323" s="574">
        <v>42366</v>
      </c>
      <c r="C323" s="258">
        <v>1000</v>
      </c>
      <c r="D323" s="259">
        <v>14.74</v>
      </c>
      <c r="E323" s="259">
        <v>0</v>
      </c>
      <c r="F323" s="259">
        <f t="shared" si="74"/>
        <v>14740</v>
      </c>
      <c r="G323" s="258"/>
      <c r="H323" s="258"/>
      <c r="I323" s="259"/>
      <c r="J323" s="259"/>
      <c r="K323" s="259"/>
      <c r="L323" s="258"/>
      <c r="M323" s="258"/>
    </row>
    <row r="324" spans="1:13" x14ac:dyDescent="0.25">
      <c r="A324" s="258"/>
      <c r="B324" s="574">
        <v>42377</v>
      </c>
      <c r="C324" s="258">
        <v>200</v>
      </c>
      <c r="D324" s="259">
        <v>13.35</v>
      </c>
      <c r="E324" s="259">
        <v>0</v>
      </c>
      <c r="F324" s="259">
        <f t="shared" si="74"/>
        <v>2670</v>
      </c>
      <c r="G324" s="258"/>
      <c r="H324" s="258"/>
      <c r="I324" s="259"/>
      <c r="J324" s="259"/>
      <c r="K324" s="259"/>
      <c r="L324" s="258"/>
      <c r="M324" s="258"/>
    </row>
    <row r="325" spans="1:13" x14ac:dyDescent="0.25">
      <c r="A325" s="258"/>
      <c r="B325" s="574">
        <v>42401</v>
      </c>
      <c r="C325" s="258">
        <v>260</v>
      </c>
      <c r="D325" s="259">
        <v>10.69</v>
      </c>
      <c r="E325" s="259">
        <v>0</v>
      </c>
      <c r="F325" s="259">
        <f t="shared" si="74"/>
        <v>2779.4</v>
      </c>
      <c r="G325" s="258"/>
      <c r="H325" s="258"/>
      <c r="I325" s="259"/>
      <c r="J325" s="259"/>
      <c r="K325" s="259"/>
      <c r="L325" s="258"/>
      <c r="M325" s="258"/>
    </row>
    <row r="326" spans="1:13" x14ac:dyDescent="0.25">
      <c r="A326" s="258"/>
      <c r="B326" s="574">
        <v>42423</v>
      </c>
      <c r="C326" s="258">
        <v>1660</v>
      </c>
      <c r="D326" s="259">
        <v>10.77</v>
      </c>
      <c r="E326" s="259">
        <v>0</v>
      </c>
      <c r="F326" s="259">
        <f t="shared" si="74"/>
        <v>17878.2</v>
      </c>
      <c r="G326" s="258"/>
      <c r="H326" s="258"/>
      <c r="I326" s="259"/>
      <c r="J326" s="259"/>
      <c r="K326" s="259"/>
      <c r="L326" s="258"/>
      <c r="M326" s="259"/>
    </row>
    <row r="327" spans="1:13" x14ac:dyDescent="0.25">
      <c r="A327" s="258"/>
      <c r="B327" s="574">
        <v>42436</v>
      </c>
      <c r="C327" s="258">
        <v>520</v>
      </c>
      <c r="D327" s="259">
        <v>11.1</v>
      </c>
      <c r="E327" s="259">
        <v>0.16</v>
      </c>
      <c r="F327" s="259">
        <f t="shared" si="74"/>
        <v>5772.16</v>
      </c>
      <c r="G327" s="258"/>
      <c r="H327" s="258"/>
      <c r="I327" s="259"/>
      <c r="J327" s="259"/>
      <c r="K327" s="259"/>
      <c r="L327" s="258"/>
      <c r="M327" s="259"/>
    </row>
    <row r="328" spans="1:13" x14ac:dyDescent="0.25">
      <c r="A328" s="258"/>
      <c r="B328" s="701">
        <v>42436</v>
      </c>
      <c r="C328" s="258">
        <v>500</v>
      </c>
      <c r="D328" s="258">
        <v>11.35</v>
      </c>
      <c r="E328" s="259">
        <v>0</v>
      </c>
      <c r="F328" s="259">
        <f t="shared" si="74"/>
        <v>5675</v>
      </c>
      <c r="G328" s="258"/>
      <c r="H328" s="258"/>
      <c r="I328" s="259"/>
      <c r="J328" s="259"/>
      <c r="K328" s="259"/>
      <c r="L328" s="258"/>
      <c r="M328" s="258"/>
    </row>
    <row r="329" spans="1:13" x14ac:dyDescent="0.25">
      <c r="A329" s="258"/>
      <c r="B329" s="701"/>
      <c r="C329" s="258">
        <v>30</v>
      </c>
      <c r="D329" s="258">
        <v>11.35</v>
      </c>
      <c r="E329" s="259">
        <v>0</v>
      </c>
      <c r="F329" s="259">
        <f t="shared" si="74"/>
        <v>340.5</v>
      </c>
      <c r="G329" s="258"/>
      <c r="H329" s="258"/>
      <c r="I329" s="259"/>
      <c r="J329" s="259"/>
      <c r="K329" s="259"/>
      <c r="L329" s="258"/>
      <c r="M329" s="258"/>
    </row>
    <row r="330" spans="1:13" x14ac:dyDescent="0.25">
      <c r="A330" s="258"/>
      <c r="B330" s="701">
        <v>42447</v>
      </c>
      <c r="C330" s="258">
        <v>5</v>
      </c>
      <c r="D330" s="258">
        <v>10.75</v>
      </c>
      <c r="E330" s="259">
        <v>0</v>
      </c>
      <c r="F330" s="259">
        <f t="shared" si="74"/>
        <v>53.75</v>
      </c>
      <c r="G330" s="258"/>
      <c r="H330" s="258"/>
      <c r="I330" s="259"/>
      <c r="J330" s="259"/>
      <c r="K330" s="259"/>
      <c r="L330" s="258"/>
      <c r="M330" s="258"/>
    </row>
    <row r="331" spans="1:13" x14ac:dyDescent="0.25">
      <c r="A331" s="258"/>
      <c r="B331" s="701"/>
      <c r="C331" s="258">
        <v>500</v>
      </c>
      <c r="D331" s="258">
        <v>10.75</v>
      </c>
      <c r="E331" s="259">
        <v>0</v>
      </c>
      <c r="F331" s="259">
        <f t="shared" si="74"/>
        <v>5375</v>
      </c>
      <c r="G331" s="258"/>
      <c r="H331" s="258"/>
      <c r="I331" s="259"/>
      <c r="J331" s="259"/>
      <c r="K331" s="259"/>
      <c r="L331" s="258"/>
      <c r="M331" s="258"/>
    </row>
    <row r="332" spans="1:13" x14ac:dyDescent="0.25">
      <c r="A332" s="258"/>
      <c r="B332" s="701">
        <v>42447</v>
      </c>
      <c r="C332" s="258">
        <v>2000</v>
      </c>
      <c r="D332" s="258">
        <v>11.07</v>
      </c>
      <c r="E332" s="259">
        <v>0</v>
      </c>
      <c r="F332" s="259">
        <f t="shared" si="74"/>
        <v>22140</v>
      </c>
      <c r="G332" s="258"/>
      <c r="H332" s="258"/>
      <c r="I332" s="259"/>
      <c r="J332" s="259"/>
      <c r="K332" s="259"/>
      <c r="L332" s="258"/>
      <c r="M332" s="258"/>
    </row>
    <row r="333" spans="1:13" x14ac:dyDescent="0.25">
      <c r="A333" s="258"/>
      <c r="B333" s="701"/>
      <c r="C333" s="258">
        <v>5</v>
      </c>
      <c r="D333" s="258">
        <v>11.07</v>
      </c>
      <c r="E333" s="259">
        <v>0</v>
      </c>
      <c r="F333" s="259">
        <f t="shared" si="74"/>
        <v>55.35</v>
      </c>
      <c r="G333" s="258"/>
      <c r="H333" s="258"/>
      <c r="I333" s="259"/>
      <c r="J333" s="259"/>
      <c r="K333" s="259"/>
      <c r="L333" s="258"/>
      <c r="M333" s="258"/>
    </row>
    <row r="334" spans="1:13" x14ac:dyDescent="0.25">
      <c r="A334" s="258"/>
      <c r="B334" s="574">
        <v>42447</v>
      </c>
      <c r="C334" s="258">
        <v>355</v>
      </c>
      <c r="D334" s="258">
        <v>11.11</v>
      </c>
      <c r="E334" s="259">
        <v>0</v>
      </c>
      <c r="F334" s="259">
        <f t="shared" si="74"/>
        <v>3944.0499999999997</v>
      </c>
      <c r="G334" s="258"/>
      <c r="H334" s="258"/>
      <c r="I334" s="259"/>
      <c r="J334" s="259"/>
      <c r="K334" s="259"/>
      <c r="L334" s="258"/>
      <c r="M334" s="258"/>
    </row>
    <row r="335" spans="1:13" x14ac:dyDescent="0.25">
      <c r="A335" s="258"/>
      <c r="B335" s="574">
        <v>42450</v>
      </c>
      <c r="C335" s="258">
        <v>100</v>
      </c>
      <c r="D335" s="258">
        <v>11.51</v>
      </c>
      <c r="E335" s="259">
        <v>0</v>
      </c>
      <c r="F335" s="259">
        <f t="shared" si="74"/>
        <v>1151</v>
      </c>
      <c r="G335" s="258"/>
      <c r="H335" s="258"/>
      <c r="I335" s="259"/>
      <c r="J335" s="259"/>
      <c r="K335" s="259"/>
      <c r="L335" s="258"/>
      <c r="M335" s="258"/>
    </row>
    <row r="336" spans="1:13" x14ac:dyDescent="0.25">
      <c r="A336" s="258"/>
      <c r="B336" s="574">
        <v>42451</v>
      </c>
      <c r="C336" s="258">
        <v>1305</v>
      </c>
      <c r="D336" s="259">
        <v>11.4</v>
      </c>
      <c r="E336" s="259">
        <v>-1</v>
      </c>
      <c r="F336" s="259">
        <f t="shared" si="74"/>
        <v>14876</v>
      </c>
      <c r="G336" s="258"/>
      <c r="H336" s="258"/>
      <c r="I336" s="259"/>
      <c r="J336" s="259"/>
      <c r="K336" s="259"/>
      <c r="L336" s="258"/>
      <c r="M336" s="258"/>
    </row>
    <row r="337" spans="1:13" x14ac:dyDescent="0.25">
      <c r="A337" s="258"/>
      <c r="B337" s="574">
        <v>42452</v>
      </c>
      <c r="C337" s="258">
        <v>100</v>
      </c>
      <c r="D337" s="259">
        <v>10.82</v>
      </c>
      <c r="E337" s="259">
        <v>0</v>
      </c>
      <c r="F337" s="259">
        <f t="shared" si="74"/>
        <v>1082</v>
      </c>
      <c r="G337" s="258"/>
      <c r="H337" s="258"/>
      <c r="I337" s="259"/>
      <c r="J337" s="259"/>
      <c r="K337" s="259"/>
      <c r="L337" s="258"/>
      <c r="M337" s="258"/>
    </row>
    <row r="338" spans="1:13" x14ac:dyDescent="0.25">
      <c r="A338" s="258"/>
      <c r="B338" s="574">
        <v>42466</v>
      </c>
      <c r="C338" s="258">
        <v>500</v>
      </c>
      <c r="D338" s="259">
        <v>10.41</v>
      </c>
      <c r="E338" s="259">
        <v>0</v>
      </c>
      <c r="F338" s="259">
        <f t="shared" si="74"/>
        <v>5205</v>
      </c>
      <c r="G338" s="258"/>
      <c r="H338" s="258"/>
      <c r="I338" s="259"/>
      <c r="J338" s="259"/>
      <c r="K338" s="259"/>
      <c r="L338" s="258"/>
      <c r="M338" s="258"/>
    </row>
    <row r="339" spans="1:13" x14ac:dyDescent="0.25">
      <c r="A339" s="258"/>
      <c r="B339" s="574">
        <v>42472</v>
      </c>
      <c r="C339" s="258">
        <v>600</v>
      </c>
      <c r="D339" s="259">
        <v>10.31</v>
      </c>
      <c r="E339" s="259">
        <v>0</v>
      </c>
      <c r="F339" s="259">
        <f t="shared" si="74"/>
        <v>6186</v>
      </c>
      <c r="G339" s="258"/>
      <c r="H339" s="258"/>
      <c r="I339" s="259"/>
      <c r="J339" s="259"/>
      <c r="K339" s="259"/>
      <c r="L339" s="258"/>
      <c r="M339" s="258"/>
    </row>
    <row r="340" spans="1:13" x14ac:dyDescent="0.25">
      <c r="A340" s="258"/>
      <c r="B340" s="574">
        <v>42487</v>
      </c>
      <c r="C340" s="258">
        <v>1000</v>
      </c>
      <c r="D340" s="259">
        <v>11.29</v>
      </c>
      <c r="E340" s="259">
        <v>0</v>
      </c>
      <c r="F340" s="259">
        <f t="shared" si="74"/>
        <v>11290</v>
      </c>
      <c r="G340" s="258"/>
      <c r="H340" s="258"/>
      <c r="I340" s="259"/>
      <c r="J340" s="259"/>
      <c r="K340" s="259"/>
      <c r="L340" s="258"/>
      <c r="M340" s="258"/>
    </row>
    <row r="341" spans="1:13" x14ac:dyDescent="0.25">
      <c r="A341" s="258"/>
      <c r="B341" s="574">
        <v>42488</v>
      </c>
      <c r="C341" s="258">
        <v>1200</v>
      </c>
      <c r="D341" s="259">
        <v>12.2</v>
      </c>
      <c r="E341" s="259">
        <v>0</v>
      </c>
      <c r="F341" s="259">
        <f t="shared" si="74"/>
        <v>14640</v>
      </c>
      <c r="G341" s="258"/>
      <c r="H341" s="258"/>
      <c r="I341" s="259"/>
      <c r="J341" s="259"/>
      <c r="K341" s="259"/>
      <c r="L341" s="258"/>
      <c r="M341" s="258"/>
    </row>
    <row r="342" spans="1:13" ht="30" x14ac:dyDescent="0.25">
      <c r="A342" s="702" t="s">
        <v>202</v>
      </c>
      <c r="B342" s="574">
        <v>42489</v>
      </c>
      <c r="C342" s="258">
        <v>240</v>
      </c>
      <c r="D342" s="259">
        <v>10.81</v>
      </c>
      <c r="E342" s="259">
        <v>0</v>
      </c>
      <c r="F342" s="259">
        <f t="shared" si="74"/>
        <v>2594.4</v>
      </c>
      <c r="G342" s="258"/>
      <c r="H342" s="258"/>
      <c r="I342" s="259"/>
      <c r="J342" s="259"/>
      <c r="K342" s="259"/>
      <c r="L342" s="258"/>
      <c r="M342" s="258"/>
    </row>
    <row r="343" spans="1:13" x14ac:dyDescent="0.25">
      <c r="A343" s="702"/>
      <c r="B343" s="574">
        <v>42494</v>
      </c>
      <c r="C343" s="258">
        <v>500</v>
      </c>
      <c r="D343" s="259">
        <v>10.130000000000001</v>
      </c>
      <c r="E343" s="259">
        <v>-1</v>
      </c>
      <c r="F343" s="259">
        <f t="shared" si="74"/>
        <v>5064</v>
      </c>
      <c r="G343" s="258"/>
      <c r="H343" s="258"/>
      <c r="I343" s="259"/>
      <c r="J343" s="259"/>
      <c r="K343" s="259"/>
      <c r="L343" s="258"/>
      <c r="M343" s="258"/>
    </row>
    <row r="344" spans="1:13" x14ac:dyDescent="0.25">
      <c r="A344" s="702"/>
      <c r="B344" s="574">
        <v>42494</v>
      </c>
      <c r="C344" s="258">
        <v>500</v>
      </c>
      <c r="D344" s="259">
        <v>9.92</v>
      </c>
      <c r="E344" s="259">
        <v>0</v>
      </c>
      <c r="F344" s="259">
        <f t="shared" si="74"/>
        <v>4960</v>
      </c>
      <c r="G344" s="258"/>
      <c r="H344" s="258"/>
      <c r="I344" s="259"/>
      <c r="J344" s="259"/>
      <c r="K344" s="259"/>
      <c r="L344" s="258"/>
      <c r="M344" s="258"/>
    </row>
    <row r="345" spans="1:13" x14ac:dyDescent="0.25">
      <c r="A345" s="258"/>
      <c r="B345" s="574">
        <v>42502</v>
      </c>
      <c r="C345" s="258">
        <v>1000</v>
      </c>
      <c r="D345" s="259">
        <v>9.86</v>
      </c>
      <c r="E345" s="259">
        <v>0</v>
      </c>
      <c r="F345" s="259">
        <f t="shared" si="74"/>
        <v>9860</v>
      </c>
      <c r="G345" s="258"/>
      <c r="H345" s="258"/>
      <c r="I345" s="259"/>
      <c r="J345" s="259"/>
      <c r="K345" s="259"/>
      <c r="L345" s="258"/>
      <c r="M345" s="258"/>
    </row>
    <row r="346" spans="1:13" x14ac:dyDescent="0.25">
      <c r="A346" s="258"/>
      <c r="B346" s="574">
        <v>42502</v>
      </c>
      <c r="C346" s="258">
        <v>1000</v>
      </c>
      <c r="D346" s="259">
        <v>9.68</v>
      </c>
      <c r="E346" s="259">
        <v>0</v>
      </c>
      <c r="F346" s="259">
        <f t="shared" si="74"/>
        <v>9680</v>
      </c>
      <c r="G346" s="258"/>
      <c r="H346" s="258"/>
      <c r="I346" s="259"/>
      <c r="J346" s="259"/>
      <c r="K346" s="259"/>
      <c r="L346" s="258"/>
      <c r="M346" s="258"/>
    </row>
    <row r="347" spans="1:13" x14ac:dyDescent="0.25">
      <c r="A347" s="258"/>
      <c r="B347" s="574">
        <v>42502</v>
      </c>
      <c r="C347" s="258">
        <v>1000</v>
      </c>
      <c r="D347" s="259">
        <v>9.5</v>
      </c>
      <c r="E347" s="259">
        <v>0</v>
      </c>
      <c r="F347" s="259">
        <f t="shared" si="74"/>
        <v>9500</v>
      </c>
      <c r="G347" s="258"/>
      <c r="H347" s="258"/>
      <c r="I347" s="259"/>
      <c r="J347" s="259"/>
      <c r="K347" s="259"/>
      <c r="L347" s="258"/>
      <c r="M347" s="258"/>
    </row>
    <row r="348" spans="1:13" x14ac:dyDescent="0.25">
      <c r="A348" s="258"/>
      <c r="B348" s="574">
        <v>42503</v>
      </c>
      <c r="C348" s="258">
        <v>1000</v>
      </c>
      <c r="D348" s="259">
        <v>9.6999999999999993</v>
      </c>
      <c r="E348" s="259">
        <v>9.9</v>
      </c>
      <c r="F348" s="259">
        <f t="shared" si="74"/>
        <v>9709.9</v>
      </c>
      <c r="G348" s="258"/>
      <c r="H348" s="258"/>
      <c r="I348" s="259"/>
      <c r="J348" s="259"/>
      <c r="K348" s="259"/>
      <c r="L348" s="258"/>
      <c r="M348" s="258"/>
    </row>
    <row r="349" spans="1:13" x14ac:dyDescent="0.25">
      <c r="A349" s="258"/>
      <c r="B349" s="574">
        <v>42514</v>
      </c>
      <c r="C349" s="258">
        <v>500</v>
      </c>
      <c r="D349" s="259">
        <v>11.22</v>
      </c>
      <c r="E349" s="259">
        <v>-2.5</v>
      </c>
      <c r="F349" s="259">
        <f t="shared" si="74"/>
        <v>5607.5</v>
      </c>
      <c r="G349" s="258"/>
      <c r="H349" s="258"/>
      <c r="I349" s="259"/>
      <c r="J349" s="259"/>
      <c r="K349" s="259"/>
      <c r="L349" s="258"/>
      <c r="M349" s="258"/>
    </row>
    <row r="350" spans="1:13" x14ac:dyDescent="0.25">
      <c r="A350" s="258"/>
      <c r="B350" s="574">
        <v>42515</v>
      </c>
      <c r="C350" s="258">
        <v>500</v>
      </c>
      <c r="D350" s="259">
        <v>11.62</v>
      </c>
      <c r="E350" s="259">
        <v>0</v>
      </c>
      <c r="F350" s="259">
        <f t="shared" si="74"/>
        <v>5810</v>
      </c>
      <c r="G350" s="258"/>
      <c r="H350" s="258"/>
      <c r="I350" s="259"/>
      <c r="J350" s="259"/>
      <c r="K350" s="259"/>
      <c r="L350" s="258"/>
      <c r="M350" s="258"/>
    </row>
    <row r="351" spans="1:13" x14ac:dyDescent="0.25">
      <c r="A351" s="258"/>
      <c r="B351" s="574">
        <v>42517</v>
      </c>
      <c r="C351" s="258">
        <v>1000</v>
      </c>
      <c r="D351" s="259">
        <v>12.25</v>
      </c>
      <c r="E351" s="259">
        <v>0</v>
      </c>
      <c r="F351" s="259">
        <f t="shared" si="74"/>
        <v>12250</v>
      </c>
      <c r="G351" s="258"/>
      <c r="H351" s="258"/>
      <c r="I351" s="259"/>
      <c r="J351" s="259"/>
      <c r="K351" s="259"/>
      <c r="L351" s="258"/>
      <c r="M351" s="258"/>
    </row>
    <row r="352" spans="1:13" x14ac:dyDescent="0.25">
      <c r="A352" s="258"/>
      <c r="B352" s="574">
        <v>42517</v>
      </c>
      <c r="C352" s="258">
        <v>1000</v>
      </c>
      <c r="D352" s="259">
        <v>12.3</v>
      </c>
      <c r="E352" s="259">
        <v>0</v>
      </c>
      <c r="F352" s="259">
        <f t="shared" si="74"/>
        <v>12300</v>
      </c>
      <c r="G352" s="258"/>
      <c r="H352" s="258"/>
      <c r="I352" s="259"/>
      <c r="J352" s="259"/>
      <c r="K352" s="259"/>
      <c r="L352" s="258"/>
      <c r="M352" s="258"/>
    </row>
    <row r="353" spans="1:13" x14ac:dyDescent="0.25">
      <c r="A353" s="258"/>
      <c r="B353" s="574">
        <v>42521</v>
      </c>
      <c r="C353" s="258">
        <v>500</v>
      </c>
      <c r="D353" s="259">
        <v>12.61</v>
      </c>
      <c r="E353" s="259">
        <v>0</v>
      </c>
      <c r="F353" s="259">
        <f t="shared" si="74"/>
        <v>6305</v>
      </c>
      <c r="G353" s="258"/>
      <c r="H353" s="258"/>
      <c r="I353" s="259"/>
      <c r="J353" s="259"/>
      <c r="K353" s="259"/>
      <c r="L353" s="258"/>
      <c r="M353" s="258"/>
    </row>
    <row r="354" spans="1:13" x14ac:dyDescent="0.25">
      <c r="A354" s="258"/>
      <c r="B354" s="574">
        <v>42521</v>
      </c>
      <c r="C354" s="258">
        <v>500</v>
      </c>
      <c r="D354" s="259">
        <v>12.72</v>
      </c>
      <c r="E354" s="259">
        <v>0</v>
      </c>
      <c r="F354" s="259">
        <f t="shared" si="74"/>
        <v>6360</v>
      </c>
      <c r="G354" s="263">
        <v>42522</v>
      </c>
      <c r="H354" s="264">
        <v>500</v>
      </c>
      <c r="I354" s="259">
        <v>12.72</v>
      </c>
      <c r="J354" s="259">
        <v>0.14000000000000001</v>
      </c>
      <c r="K354" s="259">
        <f>H354*I354-J354</f>
        <v>6359.86</v>
      </c>
      <c r="L354" s="258"/>
      <c r="M354" s="258"/>
    </row>
    <row r="355" spans="1:13" x14ac:dyDescent="0.25">
      <c r="A355" s="258"/>
      <c r="B355" s="574">
        <v>42522</v>
      </c>
      <c r="C355" s="258">
        <v>500</v>
      </c>
      <c r="D355" s="259">
        <v>12.6</v>
      </c>
      <c r="E355" s="259">
        <v>0</v>
      </c>
      <c r="F355" s="259">
        <f t="shared" si="74"/>
        <v>6300</v>
      </c>
      <c r="G355" s="263">
        <v>42522</v>
      </c>
      <c r="H355" s="264">
        <v>500</v>
      </c>
      <c r="I355" s="259">
        <v>12.96</v>
      </c>
      <c r="J355" s="259">
        <v>0.14000000000000001</v>
      </c>
      <c r="K355" s="259">
        <f>H355*I355-J355</f>
        <v>6479.86</v>
      </c>
      <c r="L355" s="258"/>
      <c r="M355" s="258"/>
    </row>
    <row r="356" spans="1:13" ht="15" customHeight="1" x14ac:dyDescent="0.25">
      <c r="A356" s="258"/>
      <c r="B356" s="574">
        <v>42524</v>
      </c>
      <c r="C356" s="258">
        <v>625</v>
      </c>
      <c r="D356" s="259">
        <v>12.69</v>
      </c>
      <c r="E356" s="259">
        <v>0</v>
      </c>
      <c r="F356" s="259">
        <f t="shared" si="74"/>
        <v>7931.25</v>
      </c>
      <c r="G356" s="263">
        <v>42522</v>
      </c>
      <c r="H356" s="264">
        <v>125</v>
      </c>
      <c r="I356" s="259">
        <v>13.12</v>
      </c>
      <c r="J356" s="259">
        <v>0.04</v>
      </c>
      <c r="K356" s="259">
        <f>H356*I356-J356</f>
        <v>1639.96</v>
      </c>
      <c r="L356" s="258"/>
      <c r="M356" s="258"/>
    </row>
    <row r="357" spans="1:13" x14ac:dyDescent="0.25">
      <c r="A357" s="258"/>
      <c r="B357" s="574">
        <v>42524</v>
      </c>
      <c r="C357" s="258">
        <v>625</v>
      </c>
      <c r="D357" s="259">
        <v>12.8</v>
      </c>
      <c r="E357" s="259">
        <v>0</v>
      </c>
      <c r="F357" s="259">
        <f t="shared" si="74"/>
        <v>8000</v>
      </c>
      <c r="G357" s="263">
        <v>42524</v>
      </c>
      <c r="H357" s="264">
        <v>625</v>
      </c>
      <c r="I357" s="259">
        <v>12.85</v>
      </c>
      <c r="J357" s="259">
        <v>0.18</v>
      </c>
      <c r="K357" s="259">
        <f>H357*I357-J357</f>
        <v>8031.07</v>
      </c>
      <c r="L357" s="258"/>
      <c r="M357" s="258"/>
    </row>
    <row r="358" spans="1:13" x14ac:dyDescent="0.25">
      <c r="A358" s="258"/>
      <c r="B358" s="574">
        <v>42530</v>
      </c>
      <c r="C358" s="258">
        <v>500</v>
      </c>
      <c r="D358" s="259">
        <v>12.25</v>
      </c>
      <c r="E358" s="259">
        <v>0</v>
      </c>
      <c r="F358" s="259">
        <f t="shared" si="74"/>
        <v>6125</v>
      </c>
      <c r="G358" s="263">
        <v>42530</v>
      </c>
      <c r="H358" s="264">
        <v>500</v>
      </c>
      <c r="I358" s="259">
        <v>12.61</v>
      </c>
      <c r="J358" s="259">
        <v>0.14000000000000001</v>
      </c>
      <c r="K358" s="259">
        <f>H358*I358-J358</f>
        <v>6304.86</v>
      </c>
      <c r="L358" s="258"/>
      <c r="M358" s="258"/>
    </row>
    <row r="359" spans="1:13" x14ac:dyDescent="0.25">
      <c r="A359" s="258"/>
      <c r="B359" s="574">
        <v>42531</v>
      </c>
      <c r="C359" s="258">
        <v>760</v>
      </c>
      <c r="D359" s="259">
        <v>12.19</v>
      </c>
      <c r="E359" s="259">
        <v>0</v>
      </c>
      <c r="F359" s="259">
        <f t="shared" si="74"/>
        <v>9264.4</v>
      </c>
      <c r="G359" s="258"/>
      <c r="H359" s="258"/>
      <c r="I359" s="259"/>
      <c r="J359" s="259"/>
      <c r="K359" s="259"/>
      <c r="L359" s="258"/>
      <c r="M359" s="258"/>
    </row>
    <row r="360" spans="1:13" x14ac:dyDescent="0.25">
      <c r="A360" s="258"/>
      <c r="B360" s="574">
        <v>42537</v>
      </c>
      <c r="C360" s="258">
        <v>500</v>
      </c>
      <c r="D360" s="259">
        <v>11.71</v>
      </c>
      <c r="E360" s="259">
        <v>0</v>
      </c>
      <c r="F360" s="259">
        <f t="shared" si="74"/>
        <v>5855</v>
      </c>
      <c r="G360" s="263">
        <v>42537</v>
      </c>
      <c r="H360" s="264">
        <v>500</v>
      </c>
      <c r="I360" s="259">
        <v>11.95</v>
      </c>
      <c r="J360" s="259">
        <v>0.13</v>
      </c>
      <c r="K360" s="259">
        <f t="shared" ref="K360:K366" si="75">H360*I360-J360</f>
        <v>5974.87</v>
      </c>
      <c r="L360" s="258"/>
      <c r="M360" s="258"/>
    </row>
    <row r="361" spans="1:13" x14ac:dyDescent="0.25">
      <c r="A361" s="258"/>
      <c r="B361" s="574">
        <v>42541</v>
      </c>
      <c r="C361" s="258">
        <v>500</v>
      </c>
      <c r="D361" s="259">
        <v>12.4</v>
      </c>
      <c r="E361" s="259">
        <v>0</v>
      </c>
      <c r="F361" s="259">
        <f t="shared" si="74"/>
        <v>6200</v>
      </c>
      <c r="G361" s="263">
        <v>42541</v>
      </c>
      <c r="H361" s="264">
        <v>760</v>
      </c>
      <c r="I361" s="259">
        <v>12.63</v>
      </c>
      <c r="J361" s="259">
        <v>0.21</v>
      </c>
      <c r="K361" s="259">
        <f t="shared" si="75"/>
        <v>9598.590000000002</v>
      </c>
      <c r="L361" s="258"/>
      <c r="M361" s="258"/>
    </row>
    <row r="362" spans="1:13" x14ac:dyDescent="0.25">
      <c r="A362" s="258"/>
      <c r="B362" s="574">
        <v>42541</v>
      </c>
      <c r="C362" s="258">
        <v>100</v>
      </c>
      <c r="D362" s="259">
        <v>12.32</v>
      </c>
      <c r="E362" s="259">
        <v>0</v>
      </c>
      <c r="F362" s="259">
        <f t="shared" si="74"/>
        <v>1232</v>
      </c>
      <c r="G362" s="459">
        <v>42542</v>
      </c>
      <c r="H362" s="264">
        <v>600</v>
      </c>
      <c r="I362" s="259">
        <v>12.79</v>
      </c>
      <c r="J362" s="259">
        <v>0.17</v>
      </c>
      <c r="K362" s="259">
        <f t="shared" si="75"/>
        <v>7673.829999999999</v>
      </c>
      <c r="L362" s="258"/>
      <c r="M362" s="258"/>
    </row>
    <row r="363" spans="1:13" x14ac:dyDescent="0.25">
      <c r="A363" s="258"/>
      <c r="B363" s="574">
        <v>42545</v>
      </c>
      <c r="C363" s="258">
        <v>500</v>
      </c>
      <c r="D363" s="259">
        <v>13.52</v>
      </c>
      <c r="E363" s="259">
        <v>0</v>
      </c>
      <c r="F363" s="259">
        <f t="shared" si="74"/>
        <v>6760</v>
      </c>
      <c r="G363" s="263">
        <v>42544</v>
      </c>
      <c r="H363" s="264">
        <v>400</v>
      </c>
      <c r="I363" s="259">
        <v>13.42</v>
      </c>
      <c r="J363" s="259">
        <v>0.12</v>
      </c>
      <c r="K363" s="259">
        <f t="shared" si="75"/>
        <v>5367.88</v>
      </c>
      <c r="L363" s="258"/>
      <c r="M363" s="258"/>
    </row>
    <row r="364" spans="1:13" x14ac:dyDescent="0.25">
      <c r="A364" s="258"/>
      <c r="B364" s="574">
        <v>42545</v>
      </c>
      <c r="C364" s="258">
        <v>500</v>
      </c>
      <c r="D364" s="259">
        <v>13.46</v>
      </c>
      <c r="E364" s="259">
        <v>0</v>
      </c>
      <c r="F364" s="259">
        <f t="shared" si="74"/>
        <v>6730</v>
      </c>
      <c r="G364" s="263">
        <v>42544</v>
      </c>
      <c r="H364" s="264">
        <v>600</v>
      </c>
      <c r="I364" s="259">
        <v>13.78</v>
      </c>
      <c r="J364" s="259">
        <v>0.18</v>
      </c>
      <c r="K364" s="259">
        <f t="shared" si="75"/>
        <v>8267.82</v>
      </c>
      <c r="L364" s="258"/>
      <c r="M364" s="258"/>
    </row>
    <row r="365" spans="1:13" x14ac:dyDescent="0.25">
      <c r="A365" s="258"/>
      <c r="B365" s="574">
        <v>42545</v>
      </c>
      <c r="C365" s="258">
        <v>500</v>
      </c>
      <c r="D365" s="259">
        <v>13.32</v>
      </c>
      <c r="E365" s="259">
        <v>0</v>
      </c>
      <c r="F365" s="259">
        <f t="shared" si="74"/>
        <v>6660</v>
      </c>
      <c r="G365" s="263">
        <v>42544</v>
      </c>
      <c r="H365" s="264">
        <v>500</v>
      </c>
      <c r="I365" s="259">
        <v>14.05</v>
      </c>
      <c r="J365" s="259">
        <v>0.15</v>
      </c>
      <c r="K365" s="259">
        <f t="shared" si="75"/>
        <v>7024.85</v>
      </c>
      <c r="L365" s="258"/>
      <c r="M365" s="258"/>
    </row>
    <row r="366" spans="1:13" x14ac:dyDescent="0.25">
      <c r="A366" s="258"/>
      <c r="B366" s="574">
        <v>42548</v>
      </c>
      <c r="C366" s="258">
        <v>760</v>
      </c>
      <c r="D366" s="259">
        <v>12.81</v>
      </c>
      <c r="E366" s="259">
        <v>-3.8</v>
      </c>
      <c r="F366" s="259">
        <f t="shared" si="74"/>
        <v>9731.8000000000011</v>
      </c>
      <c r="G366" s="263">
        <v>42549</v>
      </c>
      <c r="H366" s="264">
        <v>760</v>
      </c>
      <c r="I366" s="259">
        <v>12.97</v>
      </c>
      <c r="J366" s="259">
        <v>0.21</v>
      </c>
      <c r="K366" s="259">
        <f t="shared" si="75"/>
        <v>9856.9900000000016</v>
      </c>
      <c r="L366" s="258"/>
      <c r="M366" s="258"/>
    </row>
    <row r="367" spans="1:13" x14ac:dyDescent="0.25">
      <c r="A367" s="258"/>
      <c r="B367" s="574">
        <v>42548</v>
      </c>
      <c r="C367" s="258">
        <v>500</v>
      </c>
      <c r="D367" s="259">
        <v>12.58</v>
      </c>
      <c r="E367" s="259">
        <v>0</v>
      </c>
      <c r="F367" s="259">
        <f t="shared" si="74"/>
        <v>6290</v>
      </c>
      <c r="G367" s="263">
        <v>42551</v>
      </c>
      <c r="H367" s="264">
        <v>500</v>
      </c>
      <c r="I367" s="259">
        <v>13.75</v>
      </c>
      <c r="J367" s="259">
        <v>7.1</v>
      </c>
      <c r="K367" s="259">
        <f>H367*I367-J367</f>
        <v>6867.9</v>
      </c>
      <c r="L367" s="258"/>
      <c r="M367" s="258"/>
    </row>
    <row r="368" spans="1:13" x14ac:dyDescent="0.25">
      <c r="A368" s="258"/>
      <c r="B368" s="574">
        <v>42551</v>
      </c>
      <c r="C368" s="258">
        <v>500</v>
      </c>
      <c r="D368" s="259">
        <v>12.42</v>
      </c>
      <c r="E368" s="259">
        <v>6.95</v>
      </c>
      <c r="F368" s="259">
        <f t="shared" si="74"/>
        <v>6216.95</v>
      </c>
      <c r="G368" s="258"/>
      <c r="H368" s="258"/>
      <c r="I368" s="259"/>
      <c r="J368" s="259"/>
      <c r="K368" s="259"/>
      <c r="L368" s="258"/>
      <c r="M368" s="258"/>
    </row>
    <row r="369" spans="1:13" x14ac:dyDescent="0.25">
      <c r="A369" s="258"/>
      <c r="B369" s="574">
        <v>42556</v>
      </c>
      <c r="C369" s="264">
        <v>500</v>
      </c>
      <c r="D369" s="259">
        <v>11.88</v>
      </c>
      <c r="E369" s="259">
        <v>-2.5</v>
      </c>
      <c r="F369" s="259">
        <f t="shared" si="74"/>
        <v>5937.5</v>
      </c>
      <c r="G369" s="258"/>
      <c r="H369" s="258"/>
      <c r="I369" s="259"/>
      <c r="J369" s="259"/>
      <c r="K369" s="259"/>
      <c r="L369" s="258"/>
      <c r="M369" s="258"/>
    </row>
    <row r="370" spans="1:13" x14ac:dyDescent="0.25">
      <c r="A370" s="258"/>
      <c r="B370" s="574">
        <v>42558</v>
      </c>
      <c r="C370" s="258">
        <v>500</v>
      </c>
      <c r="D370" s="259">
        <v>12.28</v>
      </c>
      <c r="E370" s="259">
        <v>0</v>
      </c>
      <c r="F370" s="259">
        <f t="shared" si="74"/>
        <v>6140</v>
      </c>
      <c r="G370" s="263">
        <v>42558</v>
      </c>
      <c r="H370" s="264">
        <v>1000</v>
      </c>
      <c r="I370" s="259">
        <v>12.48</v>
      </c>
      <c r="J370" s="259">
        <v>0.27</v>
      </c>
      <c r="K370" s="259">
        <f t="shared" ref="K370:K402" si="76">H370*I370-J370</f>
        <v>12479.73</v>
      </c>
      <c r="L370" s="258"/>
      <c r="M370" s="258"/>
    </row>
    <row r="371" spans="1:13" x14ac:dyDescent="0.25">
      <c r="A371" s="258"/>
      <c r="B371" s="574">
        <v>42578</v>
      </c>
      <c r="C371" s="258">
        <v>200</v>
      </c>
      <c r="D371" s="259">
        <v>14.12</v>
      </c>
      <c r="E371" s="259">
        <v>0</v>
      </c>
      <c r="F371" s="259">
        <f t="shared" ref="F371:F398" si="77">C371*D371+E371</f>
        <v>2824</v>
      </c>
      <c r="G371" s="263">
        <v>42576</v>
      </c>
      <c r="H371" s="264">
        <v>500</v>
      </c>
      <c r="I371" s="259">
        <v>13.82</v>
      </c>
      <c r="J371" s="259">
        <v>0.15</v>
      </c>
      <c r="K371" s="259">
        <f t="shared" si="76"/>
        <v>6909.85</v>
      </c>
      <c r="L371" s="258"/>
      <c r="M371" s="258"/>
    </row>
    <row r="372" spans="1:13" x14ac:dyDescent="0.25">
      <c r="A372" s="263"/>
      <c r="B372" s="574">
        <v>42579</v>
      </c>
      <c r="C372" s="258">
        <v>300</v>
      </c>
      <c r="D372" s="259">
        <v>13.82</v>
      </c>
      <c r="E372" s="259">
        <v>0</v>
      </c>
      <c r="F372" s="259">
        <f t="shared" si="77"/>
        <v>4146</v>
      </c>
      <c r="G372" s="263">
        <v>42577</v>
      </c>
      <c r="H372" s="258">
        <v>500</v>
      </c>
      <c r="I372" s="259">
        <v>14.33</v>
      </c>
      <c r="J372" s="259">
        <v>0.16</v>
      </c>
      <c r="K372" s="259">
        <f t="shared" si="76"/>
        <v>7164.84</v>
      </c>
      <c r="L372" s="258"/>
      <c r="M372" s="258"/>
    </row>
    <row r="373" spans="1:13" x14ac:dyDescent="0.25">
      <c r="A373" s="258"/>
      <c r="B373" s="574">
        <v>42579</v>
      </c>
      <c r="C373" s="258">
        <v>300</v>
      </c>
      <c r="D373" s="259">
        <v>13.82</v>
      </c>
      <c r="E373" s="259">
        <v>0</v>
      </c>
      <c r="F373" s="259">
        <f t="shared" si="77"/>
        <v>4146</v>
      </c>
      <c r="G373" s="263">
        <v>42577</v>
      </c>
      <c r="H373" s="258">
        <v>300</v>
      </c>
      <c r="I373" s="259">
        <v>14.58</v>
      </c>
      <c r="J373" s="259">
        <v>0.1</v>
      </c>
      <c r="K373" s="259">
        <f t="shared" si="76"/>
        <v>4373.8999999999996</v>
      </c>
      <c r="L373" s="258"/>
      <c r="M373" s="258"/>
    </row>
    <row r="374" spans="1:13" x14ac:dyDescent="0.25">
      <c r="A374" s="258"/>
      <c r="B374" s="574">
        <v>42580</v>
      </c>
      <c r="C374" s="258">
        <v>500</v>
      </c>
      <c r="D374" s="259">
        <v>13.62</v>
      </c>
      <c r="E374" s="259">
        <v>0</v>
      </c>
      <c r="F374" s="259">
        <f t="shared" si="77"/>
        <v>6810</v>
      </c>
      <c r="G374" s="263">
        <v>42586</v>
      </c>
      <c r="H374" s="258">
        <v>200</v>
      </c>
      <c r="I374" s="259">
        <v>13.89</v>
      </c>
      <c r="J374" s="259">
        <v>-0.54</v>
      </c>
      <c r="K374" s="259">
        <f t="shared" si="76"/>
        <v>2778.54</v>
      </c>
      <c r="L374" s="258"/>
      <c r="M374" s="258"/>
    </row>
    <row r="375" spans="1:13" ht="15" customHeight="1" x14ac:dyDescent="0.25">
      <c r="A375" s="258"/>
      <c r="B375" s="574">
        <v>42584</v>
      </c>
      <c r="C375" s="258">
        <v>200</v>
      </c>
      <c r="D375" s="259">
        <v>13.08</v>
      </c>
      <c r="E375" s="259">
        <v>0</v>
      </c>
      <c r="F375" s="259">
        <f t="shared" si="77"/>
        <v>2616</v>
      </c>
      <c r="G375" s="263">
        <v>42587</v>
      </c>
      <c r="H375" s="258">
        <v>500</v>
      </c>
      <c r="I375" s="259">
        <v>14.65</v>
      </c>
      <c r="J375" s="259">
        <v>0.16</v>
      </c>
      <c r="K375" s="259">
        <f t="shared" si="76"/>
        <v>7324.84</v>
      </c>
      <c r="L375" s="258"/>
      <c r="M375" s="258"/>
    </row>
    <row r="376" spans="1:13" ht="30" x14ac:dyDescent="0.25">
      <c r="A376" s="258"/>
      <c r="B376" s="574">
        <v>42599</v>
      </c>
      <c r="C376" s="258">
        <v>500</v>
      </c>
      <c r="D376" s="259">
        <v>15.6</v>
      </c>
      <c r="E376" s="259">
        <v>0</v>
      </c>
      <c r="F376" s="259">
        <f t="shared" si="77"/>
        <v>7800</v>
      </c>
      <c r="G376" s="263">
        <v>42593</v>
      </c>
      <c r="H376" s="258">
        <v>500</v>
      </c>
      <c r="I376" s="259">
        <v>14.45</v>
      </c>
      <c r="J376" s="259">
        <v>0.16</v>
      </c>
      <c r="K376" s="259">
        <f t="shared" si="76"/>
        <v>7224.84</v>
      </c>
      <c r="L376" s="258"/>
      <c r="M376" s="703" t="s">
        <v>262</v>
      </c>
    </row>
    <row r="377" spans="1:13" x14ac:dyDescent="0.25">
      <c r="A377" s="258"/>
      <c r="B377" s="574">
        <v>42619</v>
      </c>
      <c r="C377" s="258">
        <v>200</v>
      </c>
      <c r="D377" s="259">
        <v>16.850000000000001</v>
      </c>
      <c r="E377" s="259">
        <v>0</v>
      </c>
      <c r="F377" s="259">
        <f t="shared" si="77"/>
        <v>3370.0000000000005</v>
      </c>
      <c r="G377" s="263">
        <v>42594</v>
      </c>
      <c r="H377" s="258">
        <v>500</v>
      </c>
      <c r="I377" s="259">
        <v>14.88</v>
      </c>
      <c r="J377" s="259">
        <v>0.16</v>
      </c>
      <c r="K377" s="259">
        <f t="shared" si="76"/>
        <v>7439.84</v>
      </c>
      <c r="L377" s="258"/>
      <c r="M377" s="703"/>
    </row>
    <row r="378" spans="1:13" x14ac:dyDescent="0.25">
      <c r="A378" s="258"/>
      <c r="B378" s="574">
        <v>42619</v>
      </c>
      <c r="C378" s="258">
        <v>300</v>
      </c>
      <c r="D378" s="259">
        <v>16.850000000000001</v>
      </c>
      <c r="E378" s="259">
        <v>0</v>
      </c>
      <c r="F378" s="259">
        <f t="shared" si="77"/>
        <v>5055</v>
      </c>
      <c r="G378" s="263">
        <v>42594</v>
      </c>
      <c r="H378" s="258">
        <v>500</v>
      </c>
      <c r="I378" s="259">
        <v>14.98</v>
      </c>
      <c r="J378" s="259">
        <v>0.16</v>
      </c>
      <c r="K378" s="259">
        <f t="shared" si="76"/>
        <v>7489.84</v>
      </c>
      <c r="L378" s="258"/>
      <c r="M378" s="703"/>
    </row>
    <row r="379" spans="1:13" x14ac:dyDescent="0.25">
      <c r="A379" s="258"/>
      <c r="B379" s="574">
        <v>42620</v>
      </c>
      <c r="C379" s="258">
        <v>500</v>
      </c>
      <c r="D379" s="259">
        <v>17.12</v>
      </c>
      <c r="E379" s="259">
        <v>0</v>
      </c>
      <c r="F379" s="259">
        <f t="shared" si="77"/>
        <v>8560</v>
      </c>
      <c r="G379" s="263">
        <v>42597</v>
      </c>
      <c r="H379" s="258">
        <v>500</v>
      </c>
      <c r="I379" s="259">
        <v>15.48</v>
      </c>
      <c r="J379" s="259">
        <v>0.17</v>
      </c>
      <c r="K379" s="259">
        <f t="shared" si="76"/>
        <v>7739.83</v>
      </c>
      <c r="L379" s="258"/>
      <c r="M379" s="703"/>
    </row>
    <row r="380" spans="1:13" x14ac:dyDescent="0.25">
      <c r="A380" s="258"/>
      <c r="B380" s="574">
        <v>42622</v>
      </c>
      <c r="C380" s="258">
        <v>500</v>
      </c>
      <c r="D380" s="259">
        <v>17.05</v>
      </c>
      <c r="E380" s="259">
        <v>-2.5</v>
      </c>
      <c r="F380" s="259">
        <f t="shared" si="77"/>
        <v>8522.5</v>
      </c>
      <c r="G380" s="263">
        <v>42599</v>
      </c>
      <c r="H380" s="258">
        <v>500</v>
      </c>
      <c r="I380" s="259">
        <v>15.75</v>
      </c>
      <c r="J380" s="259">
        <v>0.17</v>
      </c>
      <c r="K380" s="259">
        <f t="shared" si="76"/>
        <v>7874.83</v>
      </c>
      <c r="L380" s="258"/>
      <c r="M380" s="258"/>
    </row>
    <row r="381" spans="1:13" x14ac:dyDescent="0.25">
      <c r="A381" s="258"/>
      <c r="B381" s="574">
        <v>42626</v>
      </c>
      <c r="C381" s="258">
        <v>100</v>
      </c>
      <c r="D381" s="259">
        <v>16.48</v>
      </c>
      <c r="E381" s="259">
        <v>0</v>
      </c>
      <c r="F381" s="259">
        <f t="shared" si="77"/>
        <v>1648</v>
      </c>
      <c r="G381" s="263">
        <v>42619</v>
      </c>
      <c r="H381" s="258">
        <v>500</v>
      </c>
      <c r="I381" s="259">
        <v>17.079999999999998</v>
      </c>
      <c r="J381" s="259">
        <v>0.19</v>
      </c>
      <c r="K381" s="259">
        <f t="shared" si="76"/>
        <v>8539.81</v>
      </c>
      <c r="L381" s="258"/>
      <c r="M381" s="258"/>
    </row>
    <row r="382" spans="1:13" x14ac:dyDescent="0.25">
      <c r="A382" s="258"/>
      <c r="B382" s="574">
        <v>42641</v>
      </c>
      <c r="C382" s="258">
        <v>200</v>
      </c>
      <c r="D382" s="259">
        <v>17.260000000000002</v>
      </c>
      <c r="E382" s="259">
        <v>-0.68</v>
      </c>
      <c r="F382" s="259">
        <f t="shared" si="77"/>
        <v>3451.3200000000006</v>
      </c>
      <c r="G382" s="263">
        <v>42620</v>
      </c>
      <c r="H382" s="258">
        <v>500</v>
      </c>
      <c r="I382" s="259">
        <v>17.28</v>
      </c>
      <c r="J382" s="259">
        <v>0.19</v>
      </c>
      <c r="K382" s="259">
        <f t="shared" si="76"/>
        <v>8639.81</v>
      </c>
      <c r="L382" s="258"/>
      <c r="M382" s="258"/>
    </row>
    <row r="383" spans="1:13" x14ac:dyDescent="0.25">
      <c r="A383" s="258"/>
      <c r="B383" s="574">
        <v>42647</v>
      </c>
      <c r="C383" s="258">
        <v>200</v>
      </c>
      <c r="D383" s="259">
        <v>17.079999999999998</v>
      </c>
      <c r="E383" s="259">
        <v>0</v>
      </c>
      <c r="F383" s="259">
        <f t="shared" si="77"/>
        <v>3415.9999999999995</v>
      </c>
      <c r="G383" s="263">
        <v>42621</v>
      </c>
      <c r="H383" s="258">
        <v>500</v>
      </c>
      <c r="I383" s="259">
        <v>17.43</v>
      </c>
      <c r="J383" s="259">
        <v>0.19</v>
      </c>
      <c r="K383" s="259">
        <f t="shared" si="76"/>
        <v>8714.81</v>
      </c>
      <c r="L383" s="258"/>
      <c r="M383" s="258"/>
    </row>
    <row r="384" spans="1:13" x14ac:dyDescent="0.25">
      <c r="A384" s="258"/>
      <c r="B384" s="574">
        <v>42654</v>
      </c>
      <c r="C384" s="258">
        <v>200</v>
      </c>
      <c r="D384" s="259">
        <v>16.68</v>
      </c>
      <c r="E384" s="259">
        <v>0</v>
      </c>
      <c r="F384" s="259">
        <f t="shared" si="77"/>
        <v>3336</v>
      </c>
      <c r="G384" s="263">
        <v>42634</v>
      </c>
      <c r="H384" s="258">
        <v>500</v>
      </c>
      <c r="I384" s="259">
        <v>17.63</v>
      </c>
      <c r="J384" s="259">
        <v>2.69</v>
      </c>
      <c r="K384" s="259">
        <f t="shared" si="76"/>
        <v>8812.31</v>
      </c>
      <c r="L384" s="258"/>
      <c r="M384" s="258"/>
    </row>
    <row r="385" spans="1:13" x14ac:dyDescent="0.25">
      <c r="A385" s="258"/>
      <c r="B385" s="574">
        <v>42670</v>
      </c>
      <c r="C385" s="258">
        <v>150</v>
      </c>
      <c r="D385" s="259">
        <v>17.510000000000002</v>
      </c>
      <c r="E385" s="259">
        <v>0</v>
      </c>
      <c r="F385" s="259">
        <f t="shared" si="77"/>
        <v>2626.5000000000005</v>
      </c>
      <c r="G385" s="263">
        <v>42662</v>
      </c>
      <c r="H385" s="264">
        <v>200</v>
      </c>
      <c r="I385" s="259">
        <v>17.239999999999998</v>
      </c>
      <c r="J385" s="259">
        <v>0.08</v>
      </c>
      <c r="K385" s="259">
        <f t="shared" si="76"/>
        <v>3447.9199999999996</v>
      </c>
      <c r="L385" s="258"/>
      <c r="M385" s="258"/>
    </row>
    <row r="386" spans="1:13" x14ac:dyDescent="0.25">
      <c r="A386" s="258"/>
      <c r="B386" s="574">
        <v>42670</v>
      </c>
      <c r="C386" s="258">
        <v>200</v>
      </c>
      <c r="D386" s="259">
        <v>17.510000000000002</v>
      </c>
      <c r="E386" s="259">
        <v>0</v>
      </c>
      <c r="F386" s="259">
        <f t="shared" si="77"/>
        <v>3502.0000000000005</v>
      </c>
      <c r="G386" s="263">
        <v>42668</v>
      </c>
      <c r="H386" s="258">
        <v>200</v>
      </c>
      <c r="I386" s="259">
        <v>17.55</v>
      </c>
      <c r="J386" s="259">
        <v>0.08</v>
      </c>
      <c r="K386" s="259">
        <f t="shared" si="76"/>
        <v>3509.92</v>
      </c>
      <c r="L386" s="258"/>
      <c r="M386" s="258"/>
    </row>
    <row r="387" spans="1:13" x14ac:dyDescent="0.25">
      <c r="A387" s="258"/>
      <c r="B387" s="574">
        <v>42670</v>
      </c>
      <c r="C387" s="258">
        <v>450</v>
      </c>
      <c r="D387" s="259">
        <v>17.510000000000002</v>
      </c>
      <c r="E387" s="259">
        <v>0</v>
      </c>
      <c r="F387" s="259">
        <f t="shared" si="77"/>
        <v>7879.5000000000009</v>
      </c>
      <c r="G387" s="263">
        <v>42669</v>
      </c>
      <c r="H387" s="258">
        <v>800</v>
      </c>
      <c r="I387" s="259">
        <v>17.760000000000002</v>
      </c>
      <c r="J387" s="259">
        <v>0.31</v>
      </c>
      <c r="K387" s="259">
        <f t="shared" si="76"/>
        <v>14207.690000000002</v>
      </c>
      <c r="L387" s="258"/>
      <c r="M387" s="258"/>
    </row>
    <row r="388" spans="1:13" x14ac:dyDescent="0.25">
      <c r="A388" s="258"/>
      <c r="B388" s="574">
        <v>42670</v>
      </c>
      <c r="C388" s="258">
        <v>200</v>
      </c>
      <c r="D388" s="259">
        <v>17.420000000000002</v>
      </c>
      <c r="E388" s="259">
        <v>0</v>
      </c>
      <c r="F388" s="259">
        <f t="shared" si="77"/>
        <v>3484.0000000000005</v>
      </c>
      <c r="G388" s="263">
        <v>42671</v>
      </c>
      <c r="H388" s="258">
        <v>400</v>
      </c>
      <c r="I388" s="259">
        <v>17.64</v>
      </c>
      <c r="J388" s="259">
        <v>0.15</v>
      </c>
      <c r="K388" s="259">
        <f t="shared" si="76"/>
        <v>7055.85</v>
      </c>
      <c r="L388" s="258"/>
      <c r="M388" s="258"/>
    </row>
    <row r="389" spans="1:13" x14ac:dyDescent="0.25">
      <c r="A389" s="258"/>
      <c r="B389" s="574">
        <v>42671</v>
      </c>
      <c r="C389" s="258">
        <v>400</v>
      </c>
      <c r="D389" s="259">
        <v>17.3</v>
      </c>
      <c r="E389" s="259">
        <v>0</v>
      </c>
      <c r="F389" s="259">
        <f t="shared" si="77"/>
        <v>6920</v>
      </c>
      <c r="G389" s="263">
        <v>42675</v>
      </c>
      <c r="H389" s="258">
        <v>200</v>
      </c>
      <c r="I389" s="259">
        <v>16.989999999999998</v>
      </c>
      <c r="J389" s="259">
        <v>7.0000000000000007E-2</v>
      </c>
      <c r="K389" s="259">
        <f t="shared" si="76"/>
        <v>3397.9299999999994</v>
      </c>
      <c r="L389" s="258"/>
      <c r="M389" s="258"/>
    </row>
    <row r="390" spans="1:13" x14ac:dyDescent="0.25">
      <c r="A390" s="258"/>
      <c r="B390" s="574">
        <v>42675</v>
      </c>
      <c r="C390" s="258">
        <v>200</v>
      </c>
      <c r="D390" s="259">
        <v>16.89</v>
      </c>
      <c r="E390" s="259">
        <v>0</v>
      </c>
      <c r="F390" s="259">
        <f t="shared" si="77"/>
        <v>3378</v>
      </c>
      <c r="G390" s="263">
        <v>42678</v>
      </c>
      <c r="H390" s="258">
        <v>200</v>
      </c>
      <c r="I390" s="259">
        <v>17</v>
      </c>
      <c r="J390" s="259">
        <v>7.0000000000000007E-2</v>
      </c>
      <c r="K390" s="259">
        <f t="shared" si="76"/>
        <v>3399.93</v>
      </c>
      <c r="L390" s="258"/>
      <c r="M390" s="258"/>
    </row>
    <row r="391" spans="1:13" x14ac:dyDescent="0.25">
      <c r="A391" s="258"/>
      <c r="B391" s="574">
        <v>42678</v>
      </c>
      <c r="C391" s="258">
        <v>200</v>
      </c>
      <c r="D391" s="259">
        <v>16.8</v>
      </c>
      <c r="E391" s="259">
        <v>0</v>
      </c>
      <c r="F391" s="259">
        <f t="shared" si="77"/>
        <v>3360</v>
      </c>
      <c r="G391" s="263">
        <v>42685</v>
      </c>
      <c r="H391" s="258">
        <v>200</v>
      </c>
      <c r="I391" s="259">
        <v>17.579999999999998</v>
      </c>
      <c r="J391" s="259">
        <v>0.08</v>
      </c>
      <c r="K391" s="259">
        <f t="shared" si="76"/>
        <v>3515.9199999999996</v>
      </c>
      <c r="L391" s="258"/>
      <c r="M391" s="258"/>
    </row>
    <row r="392" spans="1:13" x14ac:dyDescent="0.25">
      <c r="A392" s="258"/>
      <c r="B392" s="574">
        <v>42705</v>
      </c>
      <c r="C392" s="258">
        <v>150</v>
      </c>
      <c r="D392" s="259">
        <v>19.079999999999998</v>
      </c>
      <c r="E392" s="259">
        <v>0</v>
      </c>
      <c r="F392" s="259">
        <f t="shared" si="77"/>
        <v>2861.9999999999995</v>
      </c>
      <c r="G392" s="263">
        <v>42702</v>
      </c>
      <c r="H392" s="258">
        <v>150</v>
      </c>
      <c r="I392" s="259">
        <v>20.11</v>
      </c>
      <c r="J392" s="259">
        <v>7.0000000000000007E-2</v>
      </c>
      <c r="K392" s="259">
        <f t="shared" si="76"/>
        <v>3016.43</v>
      </c>
      <c r="L392" s="258"/>
      <c r="M392" s="258"/>
    </row>
    <row r="393" spans="1:13" x14ac:dyDescent="0.25">
      <c r="A393" s="258"/>
      <c r="B393" s="574">
        <v>42705</v>
      </c>
      <c r="C393" s="258">
        <v>200</v>
      </c>
      <c r="D393" s="259">
        <v>18.2</v>
      </c>
      <c r="E393" s="259">
        <v>0</v>
      </c>
      <c r="F393" s="259">
        <f t="shared" si="77"/>
        <v>3640</v>
      </c>
      <c r="G393" s="263">
        <v>42706</v>
      </c>
      <c r="H393" s="258">
        <v>200</v>
      </c>
      <c r="I393" s="259">
        <v>18.79</v>
      </c>
      <c r="J393" s="259">
        <v>0.08</v>
      </c>
      <c r="K393" s="259">
        <f t="shared" si="76"/>
        <v>3757.92</v>
      </c>
      <c r="L393" s="258"/>
      <c r="M393" s="258"/>
    </row>
    <row r="394" spans="1:13" x14ac:dyDescent="0.25">
      <c r="A394" s="258"/>
      <c r="B394" s="574"/>
      <c r="C394" s="258"/>
      <c r="D394" s="259"/>
      <c r="E394" s="259"/>
      <c r="F394" s="259">
        <f t="shared" si="77"/>
        <v>0</v>
      </c>
      <c r="G394" s="263">
        <v>42710</v>
      </c>
      <c r="H394" s="258">
        <v>200</v>
      </c>
      <c r="I394" s="259">
        <v>18.98</v>
      </c>
      <c r="J394" s="259">
        <v>0.08</v>
      </c>
      <c r="K394" s="259">
        <f t="shared" si="76"/>
        <v>3795.92</v>
      </c>
      <c r="L394" s="258"/>
      <c r="M394" s="258"/>
    </row>
    <row r="395" spans="1:13" ht="45" x14ac:dyDescent="0.25">
      <c r="A395" s="258"/>
      <c r="B395" s="574"/>
      <c r="C395" s="258"/>
      <c r="D395" s="259"/>
      <c r="E395" s="259"/>
      <c r="F395" s="259">
        <f t="shared" si="77"/>
        <v>0</v>
      </c>
      <c r="G395" s="700" t="s">
        <v>323</v>
      </c>
      <c r="H395" s="258">
        <v>100</v>
      </c>
      <c r="I395" s="259">
        <v>19.68</v>
      </c>
      <c r="J395" s="259">
        <v>0.04</v>
      </c>
      <c r="K395" s="259">
        <f t="shared" si="76"/>
        <v>1967.96</v>
      </c>
      <c r="L395" s="258"/>
      <c r="M395" s="258"/>
    </row>
    <row r="396" spans="1:13" x14ac:dyDescent="0.25">
      <c r="A396" s="258"/>
      <c r="B396" s="574"/>
      <c r="C396" s="258"/>
      <c r="D396" s="259"/>
      <c r="E396" s="259"/>
      <c r="F396" s="259">
        <f t="shared" si="77"/>
        <v>0</v>
      </c>
      <c r="G396" s="700"/>
      <c r="H396" s="258">
        <v>200</v>
      </c>
      <c r="I396" s="259">
        <v>19.88</v>
      </c>
      <c r="J396" s="259">
        <v>0.09</v>
      </c>
      <c r="K396" s="259">
        <f t="shared" si="76"/>
        <v>3975.91</v>
      </c>
      <c r="L396" s="258"/>
      <c r="M396" s="258"/>
    </row>
    <row r="397" spans="1:13" x14ac:dyDescent="0.25">
      <c r="A397" s="258"/>
      <c r="B397" s="574"/>
      <c r="C397" s="258"/>
      <c r="D397" s="259"/>
      <c r="E397" s="259"/>
      <c r="F397" s="259">
        <f t="shared" si="77"/>
        <v>0</v>
      </c>
      <c r="G397" s="700"/>
      <c r="H397" s="258">
        <v>200</v>
      </c>
      <c r="I397" s="259">
        <v>20.32</v>
      </c>
      <c r="J397" s="259">
        <v>0.09</v>
      </c>
      <c r="K397" s="259">
        <f t="shared" si="76"/>
        <v>4063.91</v>
      </c>
      <c r="L397" s="258"/>
      <c r="M397" s="258"/>
    </row>
    <row r="398" spans="1:13" x14ac:dyDescent="0.25">
      <c r="A398" s="258"/>
      <c r="B398" s="574"/>
      <c r="C398" s="258"/>
      <c r="D398" s="259"/>
      <c r="E398" s="259"/>
      <c r="F398" s="259">
        <f t="shared" si="77"/>
        <v>0</v>
      </c>
      <c r="G398" s="700"/>
      <c r="H398" s="258">
        <v>300</v>
      </c>
      <c r="I398" s="259">
        <v>20.53</v>
      </c>
      <c r="J398" s="259">
        <v>0.13</v>
      </c>
      <c r="K398" s="259">
        <f t="shared" si="76"/>
        <v>6158.87</v>
      </c>
      <c r="L398" s="258"/>
      <c r="M398" s="258"/>
    </row>
    <row r="399" spans="1:13" x14ac:dyDescent="0.25">
      <c r="A399" s="258"/>
      <c r="B399" s="574"/>
      <c r="C399" s="258"/>
      <c r="D399" s="259"/>
      <c r="E399" s="259"/>
      <c r="F399" s="259"/>
      <c r="G399" s="263">
        <v>42716</v>
      </c>
      <c r="H399" s="258">
        <v>200</v>
      </c>
      <c r="I399" s="259">
        <v>19.899999999999999</v>
      </c>
      <c r="J399" s="259">
        <v>0.09</v>
      </c>
      <c r="K399" s="259">
        <f t="shared" si="76"/>
        <v>3979.9099999999994</v>
      </c>
      <c r="L399" s="258"/>
      <c r="M399" s="258"/>
    </row>
    <row r="400" spans="1:13" x14ac:dyDescent="0.25">
      <c r="A400" s="258"/>
      <c r="B400" s="574"/>
      <c r="C400" s="258"/>
      <c r="D400" s="258"/>
      <c r="E400" s="258"/>
      <c r="F400" s="258"/>
      <c r="G400" s="263">
        <v>42716</v>
      </c>
      <c r="H400" s="258">
        <v>150</v>
      </c>
      <c r="I400" s="259">
        <v>19.989999999999998</v>
      </c>
      <c r="J400" s="259">
        <v>7.0000000000000007E-2</v>
      </c>
      <c r="K400" s="259">
        <f t="shared" si="76"/>
        <v>2998.4299999999994</v>
      </c>
      <c r="L400" s="258"/>
      <c r="M400" s="258"/>
    </row>
    <row r="401" spans="1:13" x14ac:dyDescent="0.25">
      <c r="A401" s="258"/>
      <c r="B401" s="574"/>
      <c r="C401" s="258"/>
      <c r="D401" s="258"/>
      <c r="E401" s="258"/>
      <c r="F401" s="258"/>
      <c r="G401" s="263">
        <v>42717</v>
      </c>
      <c r="H401" s="258">
        <v>100</v>
      </c>
      <c r="I401" s="259">
        <v>20.350000000000001</v>
      </c>
      <c r="J401" s="259">
        <v>0.04</v>
      </c>
      <c r="K401" s="259">
        <f t="shared" si="76"/>
        <v>2034.9600000000003</v>
      </c>
      <c r="L401" s="258"/>
      <c r="M401" s="258"/>
    </row>
    <row r="402" spans="1:13" x14ac:dyDescent="0.25">
      <c r="A402" s="258"/>
      <c r="B402" s="574"/>
      <c r="C402" s="258"/>
      <c r="D402" s="258"/>
      <c r="E402" s="258"/>
      <c r="F402" s="258"/>
      <c r="G402" s="263">
        <v>42738</v>
      </c>
      <c r="H402" s="258">
        <v>350</v>
      </c>
      <c r="I402" s="259">
        <v>22.58</v>
      </c>
      <c r="J402" s="259">
        <v>0.55000000000000004</v>
      </c>
      <c r="K402" s="259">
        <f t="shared" si="76"/>
        <v>7902.4499999999989</v>
      </c>
      <c r="L402" s="258"/>
      <c r="M402" s="258"/>
    </row>
    <row r="403" spans="1:13" x14ac:dyDescent="0.25">
      <c r="A403" s="258"/>
      <c r="B403" s="574"/>
      <c r="C403" s="258"/>
      <c r="D403" s="258"/>
      <c r="E403" s="258"/>
      <c r="F403" s="258"/>
      <c r="G403" s="258"/>
      <c r="H403" s="258"/>
      <c r="I403" s="259"/>
      <c r="J403" s="259"/>
      <c r="K403" s="259"/>
      <c r="L403" s="258"/>
      <c r="M403" s="258"/>
    </row>
    <row r="404" spans="1:13" x14ac:dyDescent="0.25">
      <c r="A404" s="258"/>
      <c r="B404" s="574">
        <v>42710</v>
      </c>
      <c r="C404" s="258">
        <v>200</v>
      </c>
      <c r="D404" s="259">
        <v>18.75</v>
      </c>
      <c r="E404" s="259">
        <v>0</v>
      </c>
      <c r="F404" s="259">
        <f t="shared" ref="F404:F409" si="78">C404*D404+E404</f>
        <v>3750</v>
      </c>
      <c r="G404" s="574">
        <v>42759</v>
      </c>
      <c r="H404" s="258">
        <v>200</v>
      </c>
      <c r="I404" s="259">
        <v>22.97</v>
      </c>
      <c r="J404" s="259">
        <v>0.1</v>
      </c>
      <c r="K404" s="259">
        <f>H404*I404-J404</f>
        <v>4593.8999999999996</v>
      </c>
      <c r="L404" s="258"/>
      <c r="M404" s="258"/>
    </row>
    <row r="405" spans="1:13" x14ac:dyDescent="0.25">
      <c r="A405" s="258"/>
      <c r="B405" s="574">
        <v>42716</v>
      </c>
      <c r="C405" s="258">
        <v>200</v>
      </c>
      <c r="D405" s="259">
        <v>20.100000000000001</v>
      </c>
      <c r="E405" s="259">
        <v>-1</v>
      </c>
      <c r="F405" s="259">
        <f t="shared" si="78"/>
        <v>4019.0000000000005</v>
      </c>
      <c r="G405" s="574">
        <v>42760</v>
      </c>
      <c r="H405" s="264">
        <v>600</v>
      </c>
      <c r="I405" s="259">
        <v>23.78</v>
      </c>
      <c r="J405" s="259">
        <v>0.31</v>
      </c>
      <c r="K405" s="259">
        <f>H405*I405-J405</f>
        <v>14267.69</v>
      </c>
      <c r="L405" s="258"/>
      <c r="M405" s="258"/>
    </row>
    <row r="406" spans="1:13" x14ac:dyDescent="0.25">
      <c r="A406" s="258"/>
      <c r="B406" s="574">
        <v>42716</v>
      </c>
      <c r="C406" s="258">
        <v>200</v>
      </c>
      <c r="D406" s="259">
        <v>19.850000000000001</v>
      </c>
      <c r="E406" s="259">
        <v>0</v>
      </c>
      <c r="F406" s="259">
        <f t="shared" si="78"/>
        <v>3970.0000000000005</v>
      </c>
      <c r="G406" s="574">
        <v>42762</v>
      </c>
      <c r="H406" s="264">
        <v>400</v>
      </c>
      <c r="I406" s="259">
        <v>23.98</v>
      </c>
      <c r="J406" s="259">
        <v>0.21</v>
      </c>
      <c r="K406" s="259">
        <f>H406*I406-J406</f>
        <v>9591.7900000000009</v>
      </c>
      <c r="L406" s="258"/>
      <c r="M406" s="258"/>
    </row>
    <row r="407" spans="1:13" x14ac:dyDescent="0.25">
      <c r="A407" s="258"/>
      <c r="B407" s="574">
        <v>42716</v>
      </c>
      <c r="C407" s="258">
        <v>600</v>
      </c>
      <c r="D407" s="259">
        <v>19.600000000000001</v>
      </c>
      <c r="E407" s="259">
        <v>0</v>
      </c>
      <c r="F407" s="259">
        <f t="shared" si="78"/>
        <v>11760</v>
      </c>
      <c r="G407" s="263"/>
      <c r="H407" s="258"/>
      <c r="I407" s="259"/>
      <c r="J407" s="259"/>
      <c r="K407" s="259"/>
      <c r="L407" s="258"/>
      <c r="M407" s="258"/>
    </row>
    <row r="408" spans="1:13" x14ac:dyDescent="0.25">
      <c r="A408" s="258"/>
      <c r="B408" s="498">
        <v>42738</v>
      </c>
      <c r="C408" s="7">
        <v>100</v>
      </c>
      <c r="D408" s="44">
        <v>22.35</v>
      </c>
      <c r="E408" s="44">
        <v>0</v>
      </c>
      <c r="F408" s="44">
        <f t="shared" si="78"/>
        <v>2235</v>
      </c>
      <c r="G408" s="498">
        <v>42769</v>
      </c>
      <c r="H408" s="81">
        <v>100</v>
      </c>
      <c r="I408" s="44">
        <v>25.15</v>
      </c>
      <c r="J408" s="44">
        <v>0.05</v>
      </c>
      <c r="K408" s="44">
        <f>I408*H408-J408</f>
        <v>2514.9499999999998</v>
      </c>
      <c r="L408" s="258"/>
      <c r="M408" s="258"/>
    </row>
    <row r="409" spans="1:13" x14ac:dyDescent="0.25">
      <c r="A409" s="258"/>
      <c r="B409" s="498">
        <v>42738</v>
      </c>
      <c r="C409" s="7">
        <v>100</v>
      </c>
      <c r="D409" s="7">
        <v>22.35</v>
      </c>
      <c r="E409" s="44">
        <v>0</v>
      </c>
      <c r="F409" s="44">
        <f t="shared" si="78"/>
        <v>2235</v>
      </c>
      <c r="G409" s="498">
        <v>42782</v>
      </c>
      <c r="H409" s="81">
        <v>100</v>
      </c>
      <c r="I409" s="44">
        <v>23.3</v>
      </c>
      <c r="J409" s="44">
        <v>0.05</v>
      </c>
      <c r="K409" s="44">
        <f>I409*H409-J409</f>
        <v>2329.9499999999998</v>
      </c>
      <c r="L409" s="258"/>
      <c r="M409" s="258"/>
    </row>
    <row r="410" spans="1:13" x14ac:dyDescent="0.25">
      <c r="A410" s="258"/>
      <c r="B410" s="574"/>
      <c r="C410" s="258"/>
      <c r="D410" s="258"/>
      <c r="E410" s="258"/>
      <c r="F410" s="258"/>
      <c r="G410" s="258"/>
      <c r="H410" s="258"/>
      <c r="I410" s="259"/>
      <c r="J410" s="259"/>
      <c r="K410" s="259"/>
      <c r="L410" s="258"/>
      <c r="M410" s="258"/>
    </row>
    <row r="411" spans="1:13" x14ac:dyDescent="0.25">
      <c r="A411" s="258"/>
      <c r="B411" s="498">
        <v>42738</v>
      </c>
      <c r="C411" s="7">
        <v>150</v>
      </c>
      <c r="D411" s="7">
        <v>22.35</v>
      </c>
      <c r="E411" s="44">
        <v>0</v>
      </c>
      <c r="F411" s="44">
        <f>C411*D411+E411</f>
        <v>3352.5</v>
      </c>
      <c r="G411" s="498">
        <v>42795</v>
      </c>
      <c r="H411" s="81">
        <v>350</v>
      </c>
      <c r="I411" s="44">
        <v>24.16</v>
      </c>
      <c r="J411" s="44">
        <v>0.18</v>
      </c>
      <c r="K411" s="44">
        <f>I411*H411-J411</f>
        <v>8455.82</v>
      </c>
      <c r="L411" s="4"/>
      <c r="M411" s="258"/>
    </row>
    <row r="412" spans="1:13" x14ac:dyDescent="0.25">
      <c r="A412" s="258"/>
      <c r="B412" s="498">
        <v>42759</v>
      </c>
      <c r="C412" s="7">
        <v>200</v>
      </c>
      <c r="D412" s="44">
        <v>22.85</v>
      </c>
      <c r="E412" s="44">
        <v>0</v>
      </c>
      <c r="F412" s="44">
        <f t="shared" ref="F412:F416" si="79">C412*D412+E412</f>
        <v>4570</v>
      </c>
      <c r="G412" s="498">
        <v>42796</v>
      </c>
      <c r="H412" s="81">
        <v>600</v>
      </c>
      <c r="I412" s="44">
        <v>25.24</v>
      </c>
      <c r="J412" s="44">
        <v>0.33</v>
      </c>
      <c r="K412" s="44">
        <f>I412*H412-J412</f>
        <v>15143.669999999998</v>
      </c>
      <c r="L412" s="4"/>
      <c r="M412" s="258"/>
    </row>
    <row r="413" spans="1:13" x14ac:dyDescent="0.25">
      <c r="A413" s="258"/>
      <c r="B413" s="498">
        <v>42760</v>
      </c>
      <c r="C413" s="7">
        <v>600</v>
      </c>
      <c r="D413" s="44">
        <v>23.38</v>
      </c>
      <c r="E413" s="44">
        <v>0</v>
      </c>
      <c r="F413" s="44">
        <f t="shared" si="79"/>
        <v>14028</v>
      </c>
      <c r="G413" s="498">
        <v>42797</v>
      </c>
      <c r="H413" s="81">
        <v>200</v>
      </c>
      <c r="I413" s="44">
        <v>25.38</v>
      </c>
      <c r="J413" s="44">
        <v>0.11</v>
      </c>
      <c r="K413" s="44">
        <f>I413*H413-J413</f>
        <v>5075.8900000000003</v>
      </c>
      <c r="L413" s="4"/>
      <c r="M413" s="258"/>
    </row>
    <row r="414" spans="1:13" x14ac:dyDescent="0.25">
      <c r="A414" s="258"/>
      <c r="B414" s="498">
        <v>42765</v>
      </c>
      <c r="C414" s="7">
        <v>200</v>
      </c>
      <c r="D414" s="44">
        <v>23.78</v>
      </c>
      <c r="E414" s="44">
        <v>-0.5</v>
      </c>
      <c r="F414" s="44">
        <f t="shared" si="79"/>
        <v>4755.5</v>
      </c>
      <c r="G414" s="452">
        <v>42804</v>
      </c>
      <c r="H414" s="81">
        <v>100</v>
      </c>
      <c r="I414" s="44">
        <v>25.58</v>
      </c>
      <c r="J414" s="44">
        <v>0.06</v>
      </c>
      <c r="K414" s="44">
        <f>I414*H414-J414</f>
        <v>2557.94</v>
      </c>
      <c r="L414" s="4"/>
      <c r="M414" s="258"/>
    </row>
    <row r="415" spans="1:13" x14ac:dyDescent="0.25">
      <c r="A415" s="258"/>
      <c r="B415" s="498">
        <v>42769</v>
      </c>
      <c r="C415" s="7">
        <v>100</v>
      </c>
      <c r="D415" s="44">
        <v>24.7</v>
      </c>
      <c r="E415" s="44">
        <v>-0.32</v>
      </c>
      <c r="F415" s="44">
        <f t="shared" si="79"/>
        <v>2469.6799999999998</v>
      </c>
      <c r="G415" s="452">
        <v>42809</v>
      </c>
      <c r="H415" s="81">
        <v>200</v>
      </c>
      <c r="I415" s="44">
        <v>25.35</v>
      </c>
      <c r="J415" s="44">
        <v>0.11</v>
      </c>
      <c r="K415" s="44">
        <f>I415*H415-J415</f>
        <v>5069.8900000000003</v>
      </c>
      <c r="L415" s="4"/>
      <c r="M415" s="258"/>
    </row>
    <row r="416" spans="1:13" x14ac:dyDescent="0.25">
      <c r="A416" s="258"/>
      <c r="B416" s="498">
        <v>42776</v>
      </c>
      <c r="C416" s="7">
        <v>200</v>
      </c>
      <c r="D416" s="44">
        <v>23.95</v>
      </c>
      <c r="E416" s="44">
        <v>0</v>
      </c>
      <c r="F416" s="44">
        <f t="shared" si="79"/>
        <v>4790</v>
      </c>
      <c r="G416" s="73"/>
      <c r="H416" s="4"/>
      <c r="I416" s="3"/>
      <c r="J416" s="3"/>
      <c r="K416" s="3"/>
      <c r="L416" s="4"/>
      <c r="M416" s="258"/>
    </row>
    <row r="417" spans="1:13" x14ac:dyDescent="0.25">
      <c r="A417" s="258"/>
      <c r="B417" s="574"/>
      <c r="C417" s="258"/>
      <c r="D417" s="258"/>
      <c r="E417" s="258"/>
      <c r="F417" s="258"/>
      <c r="G417" s="258"/>
      <c r="H417" s="258"/>
      <c r="I417" s="259"/>
      <c r="J417" s="259"/>
      <c r="K417" s="259"/>
      <c r="L417" s="258"/>
      <c r="M417" s="258"/>
    </row>
    <row r="418" spans="1:13" x14ac:dyDescent="0.25">
      <c r="A418" s="258"/>
      <c r="B418" s="498">
        <v>42780</v>
      </c>
      <c r="C418" s="7">
        <v>100</v>
      </c>
      <c r="D418" s="44">
        <v>22.9</v>
      </c>
      <c r="E418" s="44">
        <v>0</v>
      </c>
      <c r="F418" s="44">
        <f>C418*D418+E418</f>
        <v>2290</v>
      </c>
      <c r="G418" s="498">
        <v>42815</v>
      </c>
      <c r="H418" s="81">
        <v>100</v>
      </c>
      <c r="I418" s="44">
        <v>28.98</v>
      </c>
      <c r="J418" s="44">
        <v>0.06</v>
      </c>
      <c r="K418" s="44">
        <f>H418*I418-J418</f>
        <v>2897.94</v>
      </c>
      <c r="L418" s="258"/>
      <c r="M418" s="258"/>
    </row>
    <row r="419" spans="1:13" x14ac:dyDescent="0.25">
      <c r="A419" s="258"/>
      <c r="B419" s="574"/>
      <c r="C419" s="258"/>
      <c r="D419" s="258"/>
      <c r="E419" s="258"/>
      <c r="F419" s="258"/>
      <c r="G419" s="258"/>
      <c r="H419" s="258"/>
      <c r="I419" s="259"/>
      <c r="J419" s="259"/>
      <c r="K419" s="259"/>
      <c r="L419" s="258"/>
      <c r="M419" s="258"/>
    </row>
    <row r="420" spans="1:13" x14ac:dyDescent="0.25">
      <c r="A420" s="258"/>
      <c r="B420" s="498">
        <v>42796</v>
      </c>
      <c r="C420" s="7">
        <v>50</v>
      </c>
      <c r="D420" s="44">
        <v>24.74</v>
      </c>
      <c r="E420" s="44">
        <v>0</v>
      </c>
      <c r="F420" s="44">
        <f t="shared" ref="F420:F427" si="80">C420*D420+E420</f>
        <v>1237</v>
      </c>
      <c r="G420" s="498">
        <v>42845</v>
      </c>
      <c r="H420" s="81">
        <v>200</v>
      </c>
      <c r="I420" s="44">
        <v>27.95</v>
      </c>
      <c r="J420" s="44">
        <v>0.12</v>
      </c>
      <c r="K420" s="44">
        <f t="shared" ref="K420:K426" si="81">I420*H420-J420</f>
        <v>5589.88</v>
      </c>
      <c r="L420" s="4"/>
      <c r="M420" s="4"/>
    </row>
    <row r="421" spans="1:13" x14ac:dyDescent="0.25">
      <c r="A421" s="258"/>
      <c r="B421" s="498">
        <v>42796</v>
      </c>
      <c r="C421" s="7">
        <v>550</v>
      </c>
      <c r="D421" s="7">
        <v>24.74</v>
      </c>
      <c r="E421" s="7">
        <v>0</v>
      </c>
      <c r="F421" s="44">
        <f t="shared" si="80"/>
        <v>13607</v>
      </c>
      <c r="G421" s="498">
        <v>42853</v>
      </c>
      <c r="H421" s="81">
        <v>200</v>
      </c>
      <c r="I421" s="44">
        <v>28.18</v>
      </c>
      <c r="J421" s="44">
        <v>0.12</v>
      </c>
      <c r="K421" s="44">
        <f t="shared" si="81"/>
        <v>5635.88</v>
      </c>
      <c r="L421" s="4"/>
      <c r="M421" s="4"/>
    </row>
    <row r="422" spans="1:13" x14ac:dyDescent="0.25">
      <c r="A422" s="258"/>
      <c r="B422" s="498">
        <v>42803</v>
      </c>
      <c r="C422" s="7">
        <v>100</v>
      </c>
      <c r="D422" s="44">
        <v>25.05</v>
      </c>
      <c r="E422" s="44">
        <v>0</v>
      </c>
      <c r="F422" s="44">
        <f t="shared" si="80"/>
        <v>2505</v>
      </c>
      <c r="G422" s="498">
        <v>42856</v>
      </c>
      <c r="H422" s="81">
        <v>50</v>
      </c>
      <c r="I422" s="44">
        <v>28.32</v>
      </c>
      <c r="J422" s="44">
        <v>0.03</v>
      </c>
      <c r="K422" s="44">
        <f t="shared" si="81"/>
        <v>1415.97</v>
      </c>
      <c r="L422" s="4"/>
      <c r="M422" s="4"/>
    </row>
    <row r="423" spans="1:13" x14ac:dyDescent="0.25">
      <c r="A423" s="258"/>
      <c r="B423" s="498">
        <v>42809</v>
      </c>
      <c r="C423" s="7">
        <v>200</v>
      </c>
      <c r="D423" s="44">
        <v>24.98</v>
      </c>
      <c r="E423" s="44">
        <v>0</v>
      </c>
      <c r="F423" s="44">
        <f t="shared" si="80"/>
        <v>4996</v>
      </c>
      <c r="G423" s="452">
        <v>42864</v>
      </c>
      <c r="H423" s="81">
        <v>450</v>
      </c>
      <c r="I423" s="44">
        <v>28.38</v>
      </c>
      <c r="J423" s="44">
        <v>0.28000000000000003</v>
      </c>
      <c r="K423" s="44">
        <f t="shared" si="81"/>
        <v>12770.72</v>
      </c>
      <c r="L423" s="4"/>
      <c r="M423" s="4"/>
    </row>
    <row r="424" spans="1:13" x14ac:dyDescent="0.25">
      <c r="A424" s="258"/>
      <c r="B424" s="498">
        <v>42818</v>
      </c>
      <c r="C424" s="7">
        <v>100</v>
      </c>
      <c r="D424" s="44">
        <v>28.48</v>
      </c>
      <c r="E424" s="44">
        <v>0</v>
      </c>
      <c r="F424" s="44">
        <f t="shared" si="80"/>
        <v>2848</v>
      </c>
      <c r="G424" s="452">
        <v>42864</v>
      </c>
      <c r="H424" s="81">
        <v>100</v>
      </c>
      <c r="I424" s="44">
        <v>28.67</v>
      </c>
      <c r="J424" s="44">
        <v>0.06</v>
      </c>
      <c r="K424" s="44">
        <f t="shared" si="81"/>
        <v>2866.94</v>
      </c>
      <c r="L424" s="4"/>
      <c r="M424" s="4"/>
    </row>
    <row r="425" spans="1:13" x14ac:dyDescent="0.25">
      <c r="A425" s="258"/>
      <c r="B425" s="498">
        <v>42835</v>
      </c>
      <c r="C425" s="7">
        <v>100</v>
      </c>
      <c r="D425" s="44">
        <v>28.08</v>
      </c>
      <c r="E425" s="44">
        <v>0</v>
      </c>
      <c r="F425" s="44">
        <f t="shared" si="80"/>
        <v>2808</v>
      </c>
      <c r="G425" s="452">
        <v>42874</v>
      </c>
      <c r="H425" s="81">
        <v>200</v>
      </c>
      <c r="I425" s="44">
        <v>28.08</v>
      </c>
      <c r="J425" s="44">
        <v>0.12</v>
      </c>
      <c r="K425" s="44">
        <f t="shared" si="81"/>
        <v>5615.88</v>
      </c>
      <c r="L425" s="4"/>
      <c r="M425" s="4"/>
    </row>
    <row r="426" spans="1:13" x14ac:dyDescent="0.25">
      <c r="A426" s="258"/>
      <c r="B426" s="498">
        <v>42836</v>
      </c>
      <c r="C426" s="7">
        <v>100</v>
      </c>
      <c r="D426" s="44">
        <v>27.06</v>
      </c>
      <c r="E426" s="44">
        <v>0</v>
      </c>
      <c r="F426" s="44">
        <f t="shared" si="80"/>
        <v>2706</v>
      </c>
      <c r="G426" s="452">
        <v>42879</v>
      </c>
      <c r="H426" s="81">
        <v>200</v>
      </c>
      <c r="I426" s="44">
        <v>28.65</v>
      </c>
      <c r="J426" s="44">
        <v>0.12</v>
      </c>
      <c r="K426" s="44">
        <f t="shared" si="81"/>
        <v>5729.88</v>
      </c>
      <c r="L426" s="4"/>
      <c r="M426" s="4"/>
    </row>
    <row r="427" spans="1:13" x14ac:dyDescent="0.25">
      <c r="A427" s="258"/>
      <c r="B427" s="498">
        <v>42846</v>
      </c>
      <c r="C427" s="7">
        <v>200</v>
      </c>
      <c r="D427" s="44">
        <v>27.34</v>
      </c>
      <c r="E427" s="44">
        <v>-0.78</v>
      </c>
      <c r="F427" s="44">
        <f t="shared" si="80"/>
        <v>5467.22</v>
      </c>
      <c r="G427" s="161"/>
      <c r="H427" s="4"/>
      <c r="I427" s="3"/>
      <c r="J427" s="3"/>
      <c r="K427" s="3"/>
      <c r="L427" s="4"/>
      <c r="M427" s="4"/>
    </row>
    <row r="428" spans="1:13" x14ac:dyDescent="0.25">
      <c r="A428" s="258"/>
      <c r="B428" s="574"/>
      <c r="C428" s="258"/>
      <c r="D428" s="258"/>
      <c r="E428" s="258"/>
      <c r="F428" s="258"/>
      <c r="G428" s="258"/>
      <c r="H428" s="258"/>
      <c r="I428" s="259"/>
      <c r="J428" s="259"/>
      <c r="K428" s="259"/>
      <c r="L428" s="258"/>
      <c r="M428" s="258"/>
    </row>
    <row r="429" spans="1:13" x14ac:dyDescent="0.25">
      <c r="A429" s="32" t="s">
        <v>81</v>
      </c>
      <c r="B429" s="14"/>
      <c r="C429" s="14">
        <f>SUM(C252:C428)</f>
        <v>66035</v>
      </c>
      <c r="D429" s="14"/>
      <c r="E429" s="14"/>
      <c r="F429" s="18">
        <f>SUM(F252:F428)</f>
        <v>970046.7030000001</v>
      </c>
      <c r="G429" s="14"/>
      <c r="H429" s="14">
        <f>SUM(H252:H428)</f>
        <v>66035</v>
      </c>
      <c r="I429" s="18"/>
      <c r="J429" s="18"/>
      <c r="K429" s="18">
        <f>SUM(K252:K428)</f>
        <v>988993.49999999988</v>
      </c>
      <c r="L429" s="18"/>
      <c r="M429" s="18">
        <f>SUM(M252:M428)</f>
        <v>0</v>
      </c>
    </row>
    <row r="430" spans="1:13" ht="15.75" thickBot="1" x14ac:dyDescent="0.3">
      <c r="A430" s="460" t="s">
        <v>195</v>
      </c>
      <c r="B430" s="461"/>
      <c r="C430" s="462">
        <f>SumByColor($A$23,C252:C428)</f>
        <v>3150</v>
      </c>
      <c r="D430" s="462"/>
      <c r="E430" s="462"/>
      <c r="F430" s="463">
        <f>SumByColor($A$23,F252:F428)</f>
        <v>76900</v>
      </c>
      <c r="G430" s="462"/>
      <c r="H430" s="462">
        <f>SumByColor($A$23,H252:H428)</f>
        <v>3150</v>
      </c>
      <c r="I430" s="462"/>
      <c r="J430" s="462"/>
      <c r="K430" s="463">
        <f>SumByColor($A$23,K252:K428)</f>
        <v>83673</v>
      </c>
      <c r="L430" s="462"/>
      <c r="M430" s="463">
        <f>SumByColor($A$23,M252:M428)</f>
        <v>0</v>
      </c>
    </row>
  </sheetData>
  <mergeCells count="1">
    <mergeCell ref="G13:G14"/>
  </mergeCells>
  <conditionalFormatting sqref="P16:P2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90:F220 H110:H220 H222:H245 F222:F245">
    <cfRule type="expression" dxfId="686" priority="95">
      <formula>F90&gt;0</formula>
    </cfRule>
    <cfRule type="expression" dxfId="685" priority="96">
      <formula>F90&lt;0</formula>
    </cfRule>
  </conditionalFormatting>
  <conditionalFormatting sqref="H90:H101">
    <cfRule type="expression" dxfId="684" priority="87">
      <formula>H90&gt;0</formula>
    </cfRule>
    <cfRule type="expression" dxfId="683" priority="88">
      <formula>H90&lt;0</formula>
    </cfRule>
  </conditionalFormatting>
  <conditionalFormatting sqref="H102">
    <cfRule type="expression" dxfId="682" priority="77">
      <formula>H102&gt;0</formula>
    </cfRule>
    <cfRule type="expression" dxfId="681" priority="78">
      <formula>H102&lt;0</formula>
    </cfRule>
  </conditionalFormatting>
  <conditionalFormatting sqref="H103">
    <cfRule type="expression" dxfId="680" priority="73">
      <formula>H103&gt;0</formula>
    </cfRule>
    <cfRule type="expression" dxfId="679" priority="74">
      <formula>H103&lt;0</formula>
    </cfRule>
  </conditionalFormatting>
  <conditionalFormatting sqref="H104:H109">
    <cfRule type="expression" dxfId="678" priority="69">
      <formula>H104&gt;0</formula>
    </cfRule>
    <cfRule type="expression" dxfId="677" priority="70">
      <formula>H104&lt;0</formula>
    </cfRule>
  </conditionalFormatting>
  <conditionalFormatting sqref="Q8">
    <cfRule type="expression" dxfId="676" priority="53">
      <formula>Q8&gt;0</formula>
    </cfRule>
    <cfRule type="expression" dxfId="675" priority="54">
      <formula>Q8&lt;0</formula>
    </cfRule>
  </conditionalFormatting>
  <conditionalFormatting sqref="Q7">
    <cfRule type="expression" dxfId="674" priority="55">
      <formula>Q7&gt;0</formula>
    </cfRule>
    <cfRule type="expression" dxfId="673" priority="56">
      <formula>Q7&lt;0</formula>
    </cfRule>
  </conditionalFormatting>
  <conditionalFormatting sqref="F221 H221">
    <cfRule type="expression" dxfId="672" priority="51">
      <formula>F221&gt;0</formula>
    </cfRule>
    <cfRule type="expression" dxfId="671" priority="52">
      <formula>F221&lt;0</formula>
    </cfRule>
  </conditionalFormatting>
  <conditionalFormatting sqref="F30:F77">
    <cfRule type="expression" dxfId="670" priority="49">
      <formula>F30&gt;0</formula>
    </cfRule>
    <cfRule type="expression" dxfId="669" priority="50">
      <formula>F30&lt;0</formula>
    </cfRule>
  </conditionalFormatting>
  <conditionalFormatting sqref="H30:H77">
    <cfRule type="expression" dxfId="668" priority="47">
      <formula>H30&gt;0</formula>
    </cfRule>
    <cfRule type="expression" dxfId="667" priority="48">
      <formula>H30&lt;0</formula>
    </cfRule>
  </conditionalFormatting>
  <conditionalFormatting sqref="Q10">
    <cfRule type="expression" dxfId="666" priority="45">
      <formula>Q10&gt;0</formula>
    </cfRule>
    <cfRule type="expression" dxfId="665" priority="46">
      <formula>Q10&lt;0</formula>
    </cfRule>
  </conditionalFormatting>
  <conditionalFormatting sqref="J37">
    <cfRule type="expression" dxfId="664" priority="43">
      <formula>J37&gt;0</formula>
    </cfRule>
    <cfRule type="expression" dxfId="663" priority="44">
      <formula>J37&lt;0</formula>
    </cfRule>
  </conditionalFormatting>
  <conditionalFormatting sqref="J43:J44">
    <cfRule type="expression" dxfId="662" priority="41">
      <formula>J43&gt;0</formula>
    </cfRule>
    <cfRule type="expression" dxfId="661" priority="42">
      <formula>J43&lt;0</formula>
    </cfRule>
  </conditionalFormatting>
  <conditionalFormatting sqref="Q9">
    <cfRule type="expression" dxfId="660" priority="39">
      <formula>Q9&gt;0</formula>
    </cfRule>
    <cfRule type="expression" dxfId="659" priority="40">
      <formula>Q9&lt;0</formula>
    </cfRule>
  </conditionalFormatting>
  <conditionalFormatting sqref="J45">
    <cfRule type="expression" dxfId="658" priority="37">
      <formula>J45&gt;0</formula>
    </cfRule>
    <cfRule type="expression" dxfId="657" priority="38">
      <formula>J45&lt;0</formula>
    </cfRule>
  </conditionalFormatting>
  <conditionalFormatting sqref="J46:J48 J50:J53">
    <cfRule type="expression" dxfId="656" priority="35">
      <formula>J46&gt;0</formula>
    </cfRule>
    <cfRule type="expression" dxfId="655" priority="36">
      <formula>J46&lt;0</formula>
    </cfRule>
  </conditionalFormatting>
  <conditionalFormatting sqref="K37">
    <cfRule type="expression" dxfId="654" priority="33">
      <formula>K37&gt;0</formula>
    </cfRule>
    <cfRule type="expression" dxfId="653" priority="34">
      <formula>K37&lt;0</formula>
    </cfRule>
  </conditionalFormatting>
  <conditionalFormatting sqref="K43:K44">
    <cfRule type="expression" dxfId="652" priority="31">
      <formula>K43&gt;0</formula>
    </cfRule>
    <cfRule type="expression" dxfId="651" priority="32">
      <formula>K43&lt;0</formula>
    </cfRule>
  </conditionalFormatting>
  <conditionalFormatting sqref="K45">
    <cfRule type="expression" dxfId="650" priority="29">
      <formula>K45&gt;0</formula>
    </cfRule>
    <cfRule type="expression" dxfId="649" priority="30">
      <formula>K45&lt;0</formula>
    </cfRule>
  </conditionalFormatting>
  <conditionalFormatting sqref="K46:K53">
    <cfRule type="expression" dxfId="648" priority="27">
      <formula>K46&gt;0</formula>
    </cfRule>
    <cfRule type="expression" dxfId="647" priority="28">
      <formula>K46&lt;0</formula>
    </cfRule>
  </conditionalFormatting>
  <conditionalFormatting sqref="L37">
    <cfRule type="expression" dxfId="646" priority="25">
      <formula>L37&gt;0</formula>
    </cfRule>
    <cfRule type="expression" dxfId="645" priority="26">
      <formula>L37&lt;0</formula>
    </cfRule>
  </conditionalFormatting>
  <conditionalFormatting sqref="L43:L44">
    <cfRule type="expression" dxfId="644" priority="23">
      <formula>L43&gt;0</formula>
    </cfRule>
    <cfRule type="expression" dxfId="643" priority="24">
      <formula>L43&lt;0</formula>
    </cfRule>
  </conditionalFormatting>
  <conditionalFormatting sqref="L45">
    <cfRule type="expression" dxfId="642" priority="21">
      <formula>L45&gt;0</formula>
    </cfRule>
    <cfRule type="expression" dxfId="641" priority="22">
      <formula>L45&lt;0</formula>
    </cfRule>
  </conditionalFormatting>
  <conditionalFormatting sqref="L46:L53">
    <cfRule type="expression" dxfId="640" priority="19">
      <formula>L46&gt;0</formula>
    </cfRule>
    <cfRule type="expression" dxfId="639" priority="20">
      <formula>L46&lt;0</formula>
    </cfRule>
  </conditionalFormatting>
  <conditionalFormatting sqref="K54">
    <cfRule type="expression" dxfId="638" priority="17">
      <formula>K54&gt;0</formula>
    </cfRule>
    <cfRule type="expression" dxfId="637" priority="18">
      <formula>K54&lt;0</formula>
    </cfRule>
  </conditionalFormatting>
  <conditionalFormatting sqref="L54:L61">
    <cfRule type="expression" dxfId="636" priority="15">
      <formula>L54&gt;0</formula>
    </cfRule>
    <cfRule type="expression" dxfId="635" priority="16">
      <formula>L54&lt;0</formula>
    </cfRule>
  </conditionalFormatting>
  <conditionalFormatting sqref="K55">
    <cfRule type="expression" dxfId="634" priority="13">
      <formula>K55&gt;0</formula>
    </cfRule>
    <cfRule type="expression" dxfId="633" priority="14">
      <formula>K55&lt;0</formula>
    </cfRule>
  </conditionalFormatting>
  <conditionalFormatting sqref="K56">
    <cfRule type="expression" dxfId="632" priority="7">
      <formula>K56&gt;0</formula>
    </cfRule>
    <cfRule type="expression" dxfId="631" priority="8">
      <formula>K56&lt;0</formula>
    </cfRule>
  </conditionalFormatting>
  <conditionalFormatting sqref="K57:K77">
    <cfRule type="expression" dxfId="630" priority="5">
      <formula>K57&gt;0</formula>
    </cfRule>
    <cfRule type="expression" dxfId="629" priority="6">
      <formula>K57&lt;0</formula>
    </cfRule>
  </conditionalFormatting>
  <conditionalFormatting sqref="L62:L66">
    <cfRule type="expression" dxfId="628" priority="3">
      <formula>L62&gt;0</formula>
    </cfRule>
    <cfRule type="expression" dxfId="627" priority="4">
      <formula>L62&lt;0</formula>
    </cfRule>
  </conditionalFormatting>
  <conditionalFormatting sqref="L67:L68">
    <cfRule type="expression" dxfId="626" priority="1">
      <formula>L67&gt;0</formula>
    </cfRule>
    <cfRule type="expression" dxfId="625" priority="2">
      <formula>L67&lt;0</formula>
    </cfRule>
  </conditionalFormatting>
  <hyperlinks>
    <hyperlink ref="A3" location="ACTIVE!A1" display="Back"/>
    <hyperlink ref="A25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5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4"/>
      <c r="O3" s="11" t="s">
        <v>58</v>
      </c>
      <c r="Q3" s="2">
        <f>IF(Q2=0, Q4, (F18-K18-M18)/Q2)</f>
        <v>53.43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5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53.43</v>
      </c>
      <c r="R4" s="514">
        <v>-3.8999999999999998E-3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5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5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5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5">
        <f t="shared" si="1"/>
        <v>-3.7306106420577079E-3</v>
      </c>
    </row>
    <row r="8" spans="1:31" x14ac:dyDescent="0.25"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5">
        <f t="shared" si="1"/>
        <v>1.3129102844638973E-2</v>
      </c>
    </row>
    <row r="9" spans="1:31" x14ac:dyDescent="0.25">
      <c r="O9" s="11" t="s">
        <v>211</v>
      </c>
      <c r="Q9" s="135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5">
        <f t="shared" si="1"/>
        <v>-1.0627829167486724E-2</v>
      </c>
    </row>
    <row r="10" spans="1:31" x14ac:dyDescent="0.25">
      <c r="O10" s="11" t="s">
        <v>210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5">
        <f t="shared" si="1"/>
        <v>-9.7446891444162853E-3</v>
      </c>
    </row>
    <row r="11" spans="1:31" x14ac:dyDescent="0.25">
      <c r="O11" s="11" t="s">
        <v>176</v>
      </c>
      <c r="P11" s="34"/>
      <c r="Q11" s="135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5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5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5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5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5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5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5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5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5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5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5">
        <f t="shared" si="1"/>
        <v>-1.5715948777648481E-2</v>
      </c>
    </row>
    <row r="22" spans="1:31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5">
        <f t="shared" si="1"/>
        <v>1.1655011655011815E-3</v>
      </c>
    </row>
    <row r="23" spans="1:31" x14ac:dyDescent="0.25">
      <c r="B23" s="19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8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5">
        <f t="shared" si="1"/>
        <v>-1.6243072807185177E-2</v>
      </c>
    </row>
    <row r="24" spans="1:31" x14ac:dyDescent="0.25">
      <c r="B24" s="19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8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5">
        <f t="shared" si="1"/>
        <v>-3.0925925925925912E-2</v>
      </c>
    </row>
    <row r="25" spans="1:31" x14ac:dyDescent="0.25">
      <c r="B25" s="19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8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5">
        <f t="shared" si="1"/>
        <v>5.2122114668653463E-3</v>
      </c>
    </row>
    <row r="26" spans="1:31" x14ac:dyDescent="0.25">
      <c r="B26" s="19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8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5">
        <f t="shared" si="1"/>
        <v>9.3161915408979112E-4</v>
      </c>
    </row>
    <row r="27" spans="1:31" x14ac:dyDescent="0.25">
      <c r="B27" s="190">
        <v>42432</v>
      </c>
      <c r="C27" s="10">
        <v>0</v>
      </c>
      <c r="D27" s="40"/>
      <c r="E27" s="40"/>
      <c r="F27" s="40">
        <v>75.92</v>
      </c>
      <c r="G27" s="40"/>
      <c r="H27" s="228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5">
        <f t="shared" si="1"/>
        <v>1.8406072106261773E-2</v>
      </c>
    </row>
    <row r="28" spans="1:31" x14ac:dyDescent="0.25">
      <c r="B28" s="190">
        <v>42445</v>
      </c>
      <c r="C28" s="10">
        <v>0</v>
      </c>
      <c r="D28" s="40"/>
      <c r="E28" s="40"/>
      <c r="F28" s="40">
        <v>119.92</v>
      </c>
      <c r="G28" s="40"/>
      <c r="H28" s="228"/>
      <c r="I28" s="40" t="s">
        <v>183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5">
        <f t="shared" si="1"/>
        <v>-3.5923615050104107E-3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5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5">
        <f t="shared" si="1"/>
        <v>7.6599004212944966E-3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2" t="s">
        <v>5</v>
      </c>
      <c r="E31" s="382" t="s">
        <v>90</v>
      </c>
      <c r="F31" s="382" t="s">
        <v>60</v>
      </c>
      <c r="G31" s="382" t="s">
        <v>3</v>
      </c>
      <c r="H31" s="411" t="s">
        <v>6</v>
      </c>
      <c r="I31" s="382" t="s">
        <v>7</v>
      </c>
      <c r="J31" s="382" t="s">
        <v>89</v>
      </c>
      <c r="K31" s="382" t="s">
        <v>61</v>
      </c>
      <c r="L31" s="382" t="s">
        <v>77</v>
      </c>
      <c r="M31" s="382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5">
        <f t="shared" si="1"/>
        <v>3.6517393811261734E-3</v>
      </c>
    </row>
    <row r="32" spans="1:31" x14ac:dyDescent="0.25">
      <c r="A32" s="385" t="s">
        <v>172</v>
      </c>
      <c r="B32" s="375">
        <v>42376</v>
      </c>
      <c r="C32" s="376">
        <v>100</v>
      </c>
      <c r="D32" s="377">
        <v>36.659999999999997</v>
      </c>
      <c r="E32" s="377">
        <v>0</v>
      </c>
      <c r="F32" s="377">
        <f>C32*D32+E32</f>
        <v>3665.9999999999995</v>
      </c>
      <c r="G32" s="412">
        <v>42432</v>
      </c>
      <c r="H32" s="395">
        <v>100</v>
      </c>
      <c r="I32" s="396">
        <v>37.42</v>
      </c>
      <c r="J32" s="396">
        <v>0.08</v>
      </c>
      <c r="K32" s="397">
        <f>I32*H32-J32</f>
        <v>3741.92</v>
      </c>
      <c r="L32" s="375">
        <v>42444</v>
      </c>
      <c r="M32" s="396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5">
        <f t="shared" si="1"/>
        <v>-1.3836239575435894E-2</v>
      </c>
    </row>
    <row r="33" spans="1:31" x14ac:dyDescent="0.25">
      <c r="A33" s="386" t="s">
        <v>71</v>
      </c>
      <c r="B33" s="375"/>
      <c r="C33" s="376"/>
      <c r="D33" s="377"/>
      <c r="E33" s="377"/>
      <c r="F33" s="377"/>
      <c r="G33" s="375"/>
      <c r="H33" s="380"/>
      <c r="I33" s="376"/>
      <c r="J33" s="376"/>
      <c r="K33" s="397"/>
      <c r="L33" s="375"/>
      <c r="M33" s="376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5">
        <f t="shared" si="1"/>
        <v>1.1697027804410398E-2</v>
      </c>
    </row>
    <row r="34" spans="1:31" x14ac:dyDescent="0.25">
      <c r="A34" s="376"/>
      <c r="B34" s="375"/>
      <c r="C34" s="376"/>
      <c r="D34" s="377"/>
      <c r="E34" s="377"/>
      <c r="F34" s="377"/>
      <c r="G34" s="375"/>
      <c r="H34" s="380"/>
      <c r="I34" s="376"/>
      <c r="J34" s="377"/>
      <c r="K34" s="396"/>
      <c r="L34" s="376"/>
      <c r="M34" s="376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5">
        <f t="shared" si="1"/>
        <v>-2.3042337954290115E-2</v>
      </c>
    </row>
    <row r="35" spans="1:31" x14ac:dyDescent="0.25">
      <c r="A35" s="376"/>
      <c r="B35" s="375"/>
      <c r="C35" s="376"/>
      <c r="D35" s="377"/>
      <c r="E35" s="377"/>
      <c r="F35" s="377"/>
      <c r="G35" s="375"/>
      <c r="H35" s="380"/>
      <c r="I35" s="376"/>
      <c r="J35" s="377"/>
      <c r="K35" s="396"/>
      <c r="L35" s="376"/>
      <c r="M35" s="376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5">
        <f t="shared" si="1"/>
        <v>1.1751326762699188E-2</v>
      </c>
    </row>
    <row r="36" spans="1:31" x14ac:dyDescent="0.25">
      <c r="A36" s="376"/>
      <c r="B36" s="376"/>
      <c r="C36" s="376"/>
      <c r="D36" s="376"/>
      <c r="E36" s="376"/>
      <c r="F36" s="376"/>
      <c r="G36" s="376"/>
      <c r="H36" s="380"/>
      <c r="I36" s="376"/>
      <c r="J36" s="376"/>
      <c r="K36" s="376"/>
      <c r="L36" s="376"/>
      <c r="M36" s="376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5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5">
        <f t="shared" si="1"/>
        <v>3.7965072133636646E-3</v>
      </c>
    </row>
    <row r="38" spans="1:31" x14ac:dyDescent="0.25">
      <c r="A38" s="376"/>
      <c r="B38" s="376"/>
      <c r="C38" s="376"/>
      <c r="D38" s="376"/>
      <c r="E38" s="376"/>
      <c r="F38" s="376"/>
      <c r="G38" s="376"/>
      <c r="H38" s="380"/>
      <c r="I38" s="376"/>
      <c r="J38" s="376"/>
      <c r="K38" s="376"/>
      <c r="L38" s="376"/>
      <c r="M38" s="376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5" t="e">
        <f t="shared" si="1"/>
        <v>#DIV/0!</v>
      </c>
    </row>
    <row r="39" spans="1:31" x14ac:dyDescent="0.25">
      <c r="W39" s="98">
        <v>42779</v>
      </c>
      <c r="X39" s="102" t="s">
        <v>316</v>
      </c>
      <c r="Y39" s="102"/>
      <c r="Z39" s="102"/>
      <c r="AA39" s="102"/>
      <c r="AB39" s="100"/>
      <c r="AC39" s="99"/>
      <c r="AD39" s="2">
        <f t="shared" si="0"/>
        <v>0</v>
      </c>
      <c r="AE39" s="135">
        <f t="shared" si="1"/>
        <v>-1</v>
      </c>
    </row>
    <row r="40" spans="1:31" ht="20.25" thickBot="1" x14ac:dyDescent="0.35">
      <c r="O40" s="716" t="s">
        <v>78</v>
      </c>
      <c r="P40" s="716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5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58.773000000000003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5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58.238700000000001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5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57.704400000000007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5">
        <f t="shared" si="1"/>
        <v>1.0166177908113472E-2</v>
      </c>
    </row>
    <row r="44" spans="1:31" x14ac:dyDescent="0.25">
      <c r="O44" s="82">
        <v>1.07</v>
      </c>
      <c r="P44" s="82">
        <f t="shared" si="2"/>
        <v>57.170100000000005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5">
        <f t="shared" si="1"/>
        <v>-2.6641294005708804E-2</v>
      </c>
    </row>
    <row r="45" spans="1:31" x14ac:dyDescent="0.25">
      <c r="O45" s="82">
        <v>1.06</v>
      </c>
      <c r="P45" s="82">
        <f t="shared" si="2"/>
        <v>56.635800000000003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5">
        <f t="shared" si="1"/>
        <v>-6.2405446293495315E-3</v>
      </c>
    </row>
    <row r="46" spans="1:31" x14ac:dyDescent="0.25">
      <c r="O46" s="82">
        <v>1.05</v>
      </c>
      <c r="P46" s="82">
        <f t="shared" si="2"/>
        <v>56.101500000000001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5">
        <f t="shared" si="1"/>
        <v>-5.5882878057489704E-2</v>
      </c>
    </row>
    <row r="47" spans="1:31" x14ac:dyDescent="0.25">
      <c r="O47" s="82">
        <v>1.04</v>
      </c>
      <c r="P47" s="82">
        <f t="shared" si="2"/>
        <v>55.5672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5">
        <f t="shared" si="1"/>
        <v>-1.6042780748664054E-3</v>
      </c>
    </row>
    <row r="48" spans="1:31" x14ac:dyDescent="0.25">
      <c r="O48" s="82">
        <v>1.03</v>
      </c>
      <c r="P48" s="82">
        <f t="shared" si="2"/>
        <v>55.032899999999998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5">
        <f t="shared" si="1"/>
        <v>-5.1427558077673519E-3</v>
      </c>
    </row>
    <row r="49" spans="15:31" x14ac:dyDescent="0.25">
      <c r="O49" s="82">
        <v>1.02</v>
      </c>
      <c r="P49" s="82">
        <f t="shared" si="2"/>
        <v>54.498600000000003</v>
      </c>
      <c r="Q49" s="2"/>
      <c r="T49" s="86" t="s">
        <v>103</v>
      </c>
      <c r="U49" s="88" t="s">
        <v>413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5">
        <f t="shared" si="1"/>
        <v>-7.9169598874032632E-3</v>
      </c>
    </row>
    <row r="50" spans="15:31" x14ac:dyDescent="0.25">
      <c r="O50" s="82">
        <v>1.01</v>
      </c>
      <c r="P50" s="82">
        <f t="shared" si="2"/>
        <v>53.964300000000001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5">
        <f t="shared" si="1"/>
        <v>-2.9819329942114559E-3</v>
      </c>
    </row>
    <row r="51" spans="15:31" x14ac:dyDescent="0.25">
      <c r="O51" s="82">
        <v>1</v>
      </c>
      <c r="P51" s="82">
        <f t="shared" si="2"/>
        <v>53.43</v>
      </c>
      <c r="Q51" s="2"/>
      <c r="T51" s="86" t="s">
        <v>104</v>
      </c>
      <c r="U51" s="87" t="s">
        <v>661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5">
        <f t="shared" si="1"/>
        <v>-8.1767571329157684E-3</v>
      </c>
    </row>
    <row r="52" spans="15:31" x14ac:dyDescent="0.25">
      <c r="O52" s="82">
        <v>0.99</v>
      </c>
      <c r="P52" s="82">
        <f t="shared" si="2"/>
        <v>52.895699999999998</v>
      </c>
      <c r="Q52" s="2"/>
      <c r="T52" s="86" t="s">
        <v>105</v>
      </c>
      <c r="U52" s="87" t="s">
        <v>532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5">
        <f t="shared" si="1"/>
        <v>3.7357877639415227E-2</v>
      </c>
    </row>
    <row r="53" spans="15:31" x14ac:dyDescent="0.25">
      <c r="O53" s="82">
        <v>0.98</v>
      </c>
      <c r="P53" s="82">
        <f t="shared" si="2"/>
        <v>52.361399999999996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5">
        <f t="shared" si="1"/>
        <v>2.9351662641649678E-2</v>
      </c>
    </row>
    <row r="54" spans="15:31" x14ac:dyDescent="0.25">
      <c r="O54" s="82">
        <v>0.97</v>
      </c>
      <c r="P54" s="82">
        <f t="shared" si="2"/>
        <v>51.827100000000002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5">
        <f t="shared" si="1"/>
        <v>1.1461856444945573E-2</v>
      </c>
    </row>
    <row r="55" spans="15:31" x14ac:dyDescent="0.25">
      <c r="O55" s="82">
        <v>0.96</v>
      </c>
      <c r="P55" s="82">
        <f t="shared" si="2"/>
        <v>51.2928</v>
      </c>
      <c r="T55" s="86" t="s">
        <v>107</v>
      </c>
      <c r="U55" s="87" t="s">
        <v>662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5">
        <f t="shared" si="1"/>
        <v>1.9149751053236352E-2</v>
      </c>
    </row>
    <row r="56" spans="15:31" x14ac:dyDescent="0.25">
      <c r="O56" s="82">
        <v>0.95</v>
      </c>
      <c r="P56" s="82">
        <f t="shared" si="2"/>
        <v>50.758499999999998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5">
        <f t="shared" si="1"/>
        <v>-6.6577896138482195E-3</v>
      </c>
    </row>
    <row r="57" spans="15:31" x14ac:dyDescent="0.25">
      <c r="O57" s="82">
        <v>0.94</v>
      </c>
      <c r="P57" s="82">
        <f t="shared" si="2"/>
        <v>50.224199999999996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5">
        <f t="shared" si="1"/>
        <v>7.6146963639822651E-4</v>
      </c>
    </row>
    <row r="58" spans="15:31" x14ac:dyDescent="0.25">
      <c r="O58" s="82">
        <v>0.93</v>
      </c>
      <c r="P58" s="82">
        <f t="shared" si="2"/>
        <v>49.689900000000002</v>
      </c>
      <c r="T58" s="86" t="s">
        <v>108</v>
      </c>
      <c r="U58" s="87" t="s">
        <v>583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5">
        <f t="shared" si="1"/>
        <v>-1.0361718161265965E-2</v>
      </c>
    </row>
    <row r="59" spans="15:31" x14ac:dyDescent="0.25">
      <c r="O59" s="82">
        <v>0.92</v>
      </c>
      <c r="P59" s="82">
        <f t="shared" si="2"/>
        <v>49.1556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5">
        <f t="shared" si="1"/>
        <v>-2.2556390977443996E-3</v>
      </c>
    </row>
    <row r="60" spans="15:31" x14ac:dyDescent="0.25">
      <c r="O60" s="82">
        <v>0.91</v>
      </c>
      <c r="P60" s="82">
        <f t="shared" si="2"/>
        <v>48.621299999999998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5">
        <f t="shared" si="1"/>
        <v>-8.7572200484441476E-3</v>
      </c>
    </row>
    <row r="61" spans="15:31" x14ac:dyDescent="0.25">
      <c r="O61" s="82">
        <v>0.9</v>
      </c>
      <c r="P61" s="82">
        <f t="shared" si="2"/>
        <v>48.087000000000003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5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5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5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5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5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5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5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5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5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24" priority="11">
      <formula>F27&gt;0</formula>
    </cfRule>
    <cfRule type="expression" dxfId="623" priority="12">
      <formula>F27&lt;0</formula>
    </cfRule>
  </conditionalFormatting>
  <conditionalFormatting sqref="H27:H29">
    <cfRule type="expression" dxfId="622" priority="9">
      <formula>H27&gt;0</formula>
    </cfRule>
    <cfRule type="expression" dxfId="621" priority="10">
      <formula>H27&lt;0</formula>
    </cfRule>
  </conditionalFormatting>
  <conditionalFormatting sqref="F23:F26">
    <cfRule type="expression" dxfId="620" priority="7">
      <formula>F23&gt;0</formula>
    </cfRule>
    <cfRule type="expression" dxfId="619" priority="8">
      <formula>F23&lt;0</formula>
    </cfRule>
  </conditionalFormatting>
  <conditionalFormatting sqref="H23:H26">
    <cfRule type="expression" dxfId="618" priority="5">
      <formula>H23&gt;0</formula>
    </cfRule>
    <cfRule type="expression" dxfId="617" priority="6">
      <formula>H23&lt;0</formula>
    </cfRule>
  </conditionalFormatting>
  <conditionalFormatting sqref="Q8">
    <cfRule type="expression" dxfId="616" priority="1">
      <formula>Q8&gt;0</formula>
    </cfRule>
    <cfRule type="expression" dxfId="615" priority="2">
      <formula>Q8&lt;0</formula>
    </cfRule>
  </conditionalFormatting>
  <conditionalFormatting sqref="Q7">
    <cfRule type="expression" dxfId="614" priority="3">
      <formula>Q7&gt;0</formula>
    </cfRule>
    <cfRule type="expression" dxfId="61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8"/>
      <c r="H2" s="388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5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4"/>
      <c r="J3" s="4"/>
      <c r="K3" s="17"/>
      <c r="L3" s="73"/>
      <c r="M3" s="3"/>
      <c r="O3" s="11" t="s">
        <v>58</v>
      </c>
      <c r="Q3" s="2">
        <f>IF(Q2=0, Q4, (F18-K18-M18)/Q2)</f>
        <v>36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5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2"/>
      <c r="I4" s="4"/>
      <c r="J4" s="3"/>
      <c r="K4" s="74"/>
      <c r="L4" s="4"/>
      <c r="M4" s="4"/>
      <c r="O4" s="11" t="s">
        <v>66</v>
      </c>
      <c r="Q4" s="55">
        <v>36</v>
      </c>
      <c r="R4" s="514">
        <v>-9.4000000000000004E-3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5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2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5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2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5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2"/>
      <c r="I7" s="4"/>
      <c r="J7" s="4"/>
      <c r="K7" s="74"/>
      <c r="L7" s="4"/>
      <c r="M7" s="4"/>
      <c r="O7" s="11" t="s">
        <v>179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5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2"/>
      <c r="I8" s="4"/>
      <c r="J8" s="4"/>
      <c r="K8" s="74"/>
      <c r="L8" s="4"/>
      <c r="M8" s="4"/>
      <c r="O8" s="11" t="s">
        <v>181</v>
      </c>
      <c r="P8" s="34"/>
      <c r="Q8" s="2">
        <f>K18+M18-F18+Q2*Q4</f>
        <v>0</v>
      </c>
      <c r="S8" s="119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5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2"/>
      <c r="I9" s="4"/>
      <c r="J9" s="4"/>
      <c r="K9" s="74"/>
      <c r="L9" s="4"/>
      <c r="M9" s="4"/>
      <c r="O9" s="11" t="s">
        <v>211</v>
      </c>
      <c r="Q9" s="135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5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2"/>
      <c r="I10" s="4"/>
      <c r="J10" s="4"/>
      <c r="K10" s="74"/>
      <c r="L10" s="4"/>
      <c r="M10" s="4"/>
      <c r="O10" s="11" t="s">
        <v>210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5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2"/>
      <c r="I11" s="4"/>
      <c r="J11" s="4"/>
      <c r="K11" s="4"/>
      <c r="L11" s="4"/>
      <c r="M11" s="4"/>
      <c r="O11" s="11" t="s">
        <v>176</v>
      </c>
      <c r="P11" s="34"/>
      <c r="Q11" s="135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5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2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5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2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5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2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5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2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5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2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5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5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5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5">
        <f t="shared" si="1"/>
        <v>-2.0885547201336729E-2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5">
        <f t="shared" si="1"/>
        <v>2.5125628140703071E-3</v>
      </c>
    </row>
    <row r="21" spans="1:31" x14ac:dyDescent="0.25">
      <c r="B21" s="190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5">
        <f t="shared" si="1"/>
        <v>5.6148231330714893E-3</v>
      </c>
    </row>
    <row r="22" spans="1:31" x14ac:dyDescent="0.25">
      <c r="B22" s="190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5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5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5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5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5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5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5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5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5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5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5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5">
        <f t="shared" si="1"/>
        <v>1.0964912280704286E-3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0" t="s">
        <v>5</v>
      </c>
      <c r="E34" s="260" t="s">
        <v>90</v>
      </c>
      <c r="F34" s="260" t="s">
        <v>60</v>
      </c>
      <c r="G34" s="260" t="s">
        <v>3</v>
      </c>
      <c r="H34" s="404" t="s">
        <v>6</v>
      </c>
      <c r="I34" s="260" t="s">
        <v>7</v>
      </c>
      <c r="J34" s="260" t="s">
        <v>89</v>
      </c>
      <c r="K34" s="260" t="s">
        <v>61</v>
      </c>
      <c r="L34" s="260" t="s">
        <v>77</v>
      </c>
      <c r="M34" s="260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5">
        <f t="shared" si="1"/>
        <v>1.9225487503433669E-3</v>
      </c>
    </row>
    <row r="35" spans="1:31" x14ac:dyDescent="0.25">
      <c r="A35" s="262" t="s">
        <v>27</v>
      </c>
      <c r="B35" s="263">
        <v>42164</v>
      </c>
      <c r="C35" s="258">
        <v>30</v>
      </c>
      <c r="D35" s="259">
        <v>32.200000000000003</v>
      </c>
      <c r="E35" s="259">
        <v>0</v>
      </c>
      <c r="F35" s="259">
        <f>C35*D35</f>
        <v>966.00000000000011</v>
      </c>
      <c r="G35" s="405">
        <v>42247</v>
      </c>
      <c r="H35" s="406">
        <v>100</v>
      </c>
      <c r="I35" s="365">
        <v>27.15</v>
      </c>
      <c r="J35" s="365">
        <v>0.05</v>
      </c>
      <c r="K35" s="272">
        <f t="shared" ref="K35:K43" si="2">H35*I35-J35</f>
        <v>2714.95</v>
      </c>
      <c r="L35" s="263">
        <v>42248</v>
      </c>
      <c r="M35" s="365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5">
        <f t="shared" si="1"/>
        <v>9.986130374479929E-3</v>
      </c>
    </row>
    <row r="36" spans="1:31" x14ac:dyDescent="0.25">
      <c r="A36" s="265" t="s">
        <v>71</v>
      </c>
      <c r="B36" s="263">
        <v>42166</v>
      </c>
      <c r="C36" s="258">
        <v>30</v>
      </c>
      <c r="D36" s="259">
        <v>31.3</v>
      </c>
      <c r="E36" s="259">
        <v>0</v>
      </c>
      <c r="F36" s="259">
        <f t="shared" ref="F36:F43" si="3">C36*D36</f>
        <v>939</v>
      </c>
      <c r="G36" s="263">
        <v>42263</v>
      </c>
      <c r="H36" s="264">
        <v>230</v>
      </c>
      <c r="I36" s="258">
        <v>29.47</v>
      </c>
      <c r="J36" s="258">
        <v>0.12</v>
      </c>
      <c r="K36" s="272">
        <f t="shared" si="2"/>
        <v>6777.98</v>
      </c>
      <c r="L36" s="263">
        <v>42339</v>
      </c>
      <c r="M36" s="259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5">
        <f t="shared" si="1"/>
        <v>3.3398274422486995E-3</v>
      </c>
    </row>
    <row r="37" spans="1:31" x14ac:dyDescent="0.25">
      <c r="A37" s="258"/>
      <c r="B37" s="263">
        <v>42186</v>
      </c>
      <c r="C37" s="258">
        <v>140</v>
      </c>
      <c r="D37" s="259">
        <v>31.1</v>
      </c>
      <c r="E37" s="259">
        <v>0</v>
      </c>
      <c r="F37" s="259">
        <f t="shared" si="3"/>
        <v>4354</v>
      </c>
      <c r="G37" s="263">
        <v>42263</v>
      </c>
      <c r="H37" s="264">
        <v>180</v>
      </c>
      <c r="I37" s="258">
        <v>29.49</v>
      </c>
      <c r="J37" s="259">
        <v>0.09</v>
      </c>
      <c r="K37" s="365">
        <f t="shared" si="2"/>
        <v>5308.11</v>
      </c>
      <c r="L37" s="258"/>
      <c r="M37" s="258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5">
        <f t="shared" si="1"/>
        <v>3.6312849162012384E-3</v>
      </c>
    </row>
    <row r="38" spans="1:31" x14ac:dyDescent="0.25">
      <c r="A38" s="258"/>
      <c r="B38" s="263">
        <v>42186</v>
      </c>
      <c r="C38" s="258">
        <v>200</v>
      </c>
      <c r="D38" s="259">
        <v>30.9</v>
      </c>
      <c r="E38" s="259">
        <v>0</v>
      </c>
      <c r="F38" s="259">
        <f t="shared" si="3"/>
        <v>6180</v>
      </c>
      <c r="G38" s="263">
        <v>42282</v>
      </c>
      <c r="H38" s="264">
        <v>710</v>
      </c>
      <c r="I38" s="258">
        <v>30.05</v>
      </c>
      <c r="J38" s="259">
        <v>0.39</v>
      </c>
      <c r="K38" s="365">
        <f t="shared" si="2"/>
        <v>21335.11</v>
      </c>
      <c r="L38" s="258"/>
      <c r="M38" s="258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5">
        <f t="shared" si="1"/>
        <v>1.3016411997736066E-2</v>
      </c>
    </row>
    <row r="39" spans="1:31" x14ac:dyDescent="0.25">
      <c r="A39" s="258"/>
      <c r="B39" s="263">
        <v>42194</v>
      </c>
      <c r="C39" s="258">
        <v>100</v>
      </c>
      <c r="D39" s="259">
        <v>29.8</v>
      </c>
      <c r="E39" s="259">
        <v>0</v>
      </c>
      <c r="F39" s="259">
        <f t="shared" si="3"/>
        <v>2980</v>
      </c>
      <c r="G39" s="263">
        <v>42291</v>
      </c>
      <c r="H39" s="264">
        <v>60</v>
      </c>
      <c r="I39" s="258">
        <v>32.450000000000003</v>
      </c>
      <c r="J39" s="258">
        <v>0.04</v>
      </c>
      <c r="K39" s="365">
        <f t="shared" si="2"/>
        <v>1946.9600000000003</v>
      </c>
      <c r="L39" s="258"/>
      <c r="M39" s="258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5">
        <f t="shared" si="1"/>
        <v>-3.3840947546530664E-3</v>
      </c>
    </row>
    <row r="40" spans="1:31" ht="20.25" thickBot="1" x14ac:dyDescent="0.35">
      <c r="A40" s="258"/>
      <c r="B40" s="263">
        <v>42207</v>
      </c>
      <c r="C40" s="258">
        <v>50</v>
      </c>
      <c r="D40" s="259">
        <v>29.32</v>
      </c>
      <c r="E40" s="259">
        <v>0</v>
      </c>
      <c r="F40" s="259">
        <f t="shared" si="3"/>
        <v>1466</v>
      </c>
      <c r="G40" s="263">
        <v>42296</v>
      </c>
      <c r="H40" s="264">
        <v>200</v>
      </c>
      <c r="I40" s="258">
        <v>32.82</v>
      </c>
      <c r="J40" s="258">
        <v>0.12</v>
      </c>
      <c r="K40" s="365">
        <f t="shared" si="2"/>
        <v>6563.88</v>
      </c>
      <c r="L40" s="258"/>
      <c r="M40" s="258"/>
      <c r="O40" s="716" t="s">
        <v>78</v>
      </c>
      <c r="P40" s="716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5">
        <f t="shared" si="1"/>
        <v>-2.5288620120945571E-2</v>
      </c>
    </row>
    <row r="41" spans="1:31" ht="15.75" thickTop="1" x14ac:dyDescent="0.25">
      <c r="A41" s="258"/>
      <c r="B41" s="263">
        <v>42209</v>
      </c>
      <c r="C41" s="258">
        <v>50</v>
      </c>
      <c r="D41" s="259">
        <v>28.6</v>
      </c>
      <c r="E41" s="259">
        <v>0</v>
      </c>
      <c r="F41" s="259">
        <f t="shared" si="3"/>
        <v>1430</v>
      </c>
      <c r="G41" s="263">
        <v>42299</v>
      </c>
      <c r="H41" s="264">
        <v>80</v>
      </c>
      <c r="I41" s="258">
        <v>33.549999999999997</v>
      </c>
      <c r="J41" s="258">
        <v>0.05</v>
      </c>
      <c r="K41" s="365">
        <f t="shared" si="2"/>
        <v>2683.95</v>
      </c>
      <c r="L41" s="258"/>
      <c r="M41" s="258"/>
      <c r="O41" s="82">
        <v>1.1000000000000001</v>
      </c>
      <c r="P41" s="82">
        <f>O41*$Q$4</f>
        <v>39.6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5">
        <f t="shared" si="1"/>
        <v>8.2530949105907858E-4</v>
      </c>
    </row>
    <row r="42" spans="1:31" ht="20.25" thickBot="1" x14ac:dyDescent="0.35">
      <c r="A42" s="258"/>
      <c r="B42" s="263">
        <v>42214</v>
      </c>
      <c r="C42" s="258">
        <v>50</v>
      </c>
      <c r="D42" s="259">
        <v>28.19</v>
      </c>
      <c r="E42" s="259">
        <v>0</v>
      </c>
      <c r="F42" s="259">
        <f t="shared" si="3"/>
        <v>1409.5</v>
      </c>
      <c r="G42" s="263">
        <v>42304</v>
      </c>
      <c r="H42" s="264">
        <v>40</v>
      </c>
      <c r="I42" s="258">
        <v>34.049999999999997</v>
      </c>
      <c r="J42" s="258">
        <v>0.03</v>
      </c>
      <c r="K42" s="365">
        <f t="shared" si="2"/>
        <v>1361.97</v>
      </c>
      <c r="L42" s="258"/>
      <c r="M42" s="258"/>
      <c r="O42" s="82">
        <v>1.0900000000000001</v>
      </c>
      <c r="P42" s="82">
        <f t="shared" ref="P42:P61" si="4">O42*$Q$4</f>
        <v>39.24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5">
        <f t="shared" si="1"/>
        <v>2.2056796250344846E-3</v>
      </c>
    </row>
    <row r="43" spans="1:31" ht="15.75" thickTop="1" x14ac:dyDescent="0.25">
      <c r="A43" s="258"/>
      <c r="B43" s="263">
        <v>42240</v>
      </c>
      <c r="C43" s="258">
        <v>100</v>
      </c>
      <c r="D43" s="259">
        <v>28.4</v>
      </c>
      <c r="E43" s="259">
        <v>0</v>
      </c>
      <c r="F43" s="259">
        <f t="shared" si="3"/>
        <v>2840</v>
      </c>
      <c r="G43" s="263">
        <v>42332</v>
      </c>
      <c r="H43" s="264">
        <v>110</v>
      </c>
      <c r="I43" s="258">
        <v>34.450000000000003</v>
      </c>
      <c r="J43" s="258">
        <v>7.0000000000000007E-2</v>
      </c>
      <c r="K43" s="365">
        <f t="shared" si="2"/>
        <v>3789.4300000000003</v>
      </c>
      <c r="L43" s="258"/>
      <c r="M43" s="258"/>
      <c r="O43" s="82">
        <v>1.08</v>
      </c>
      <c r="P43" s="82">
        <f t="shared" si="4"/>
        <v>38.880000000000003</v>
      </c>
      <c r="Q43" s="2"/>
      <c r="T43" s="96" t="s">
        <v>97</v>
      </c>
      <c r="U43" s="97">
        <v>36.28</v>
      </c>
      <c r="V43" s="407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5">
        <f t="shared" si="1"/>
        <v>-6.8455640744797819E-3</v>
      </c>
    </row>
    <row r="44" spans="1:31" x14ac:dyDescent="0.25">
      <c r="A44" s="258"/>
      <c r="B44" s="263">
        <v>42240</v>
      </c>
      <c r="C44" s="258">
        <v>50</v>
      </c>
      <c r="D44" s="259">
        <v>28.3</v>
      </c>
      <c r="E44" s="259">
        <v>0</v>
      </c>
      <c r="F44" s="259">
        <f>C44*D44</f>
        <v>1415</v>
      </c>
      <c r="G44" s="258"/>
      <c r="H44" s="264"/>
      <c r="I44" s="258"/>
      <c r="J44" s="258"/>
      <c r="K44" s="258"/>
      <c r="L44" s="258"/>
      <c r="M44" s="258"/>
      <c r="O44" s="82">
        <v>1.07</v>
      </c>
      <c r="P44" s="82">
        <f t="shared" si="4"/>
        <v>38.520000000000003</v>
      </c>
      <c r="Q44" s="2"/>
      <c r="T44" s="86" t="s">
        <v>98</v>
      </c>
      <c r="U44" s="87">
        <v>36.43</v>
      </c>
      <c r="V44" s="408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5" t="e">
        <f t="shared" si="1"/>
        <v>#DIV/0!</v>
      </c>
    </row>
    <row r="45" spans="1:31" x14ac:dyDescent="0.25">
      <c r="A45" s="258"/>
      <c r="B45" s="263">
        <v>42244</v>
      </c>
      <c r="C45" s="258">
        <v>100</v>
      </c>
      <c r="D45" s="259">
        <v>26.7</v>
      </c>
      <c r="E45" s="259">
        <v>0</v>
      </c>
      <c r="F45" s="259">
        <f t="shared" ref="F45:F51" si="5">C45*D45</f>
        <v>2670</v>
      </c>
      <c r="G45" s="258"/>
      <c r="H45" s="264"/>
      <c r="I45" s="258"/>
      <c r="J45" s="258"/>
      <c r="K45" s="258"/>
      <c r="L45" s="258"/>
      <c r="M45" s="258"/>
      <c r="O45" s="82">
        <v>1.06</v>
      </c>
      <c r="P45" s="82">
        <f t="shared" si="4"/>
        <v>38.160000000000004</v>
      </c>
      <c r="Q45" s="2"/>
      <c r="T45" s="86" t="s">
        <v>99</v>
      </c>
      <c r="U45" s="87" t="s">
        <v>663</v>
      </c>
      <c r="V45" s="408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5">
        <f t="shared" si="1"/>
        <v>-1</v>
      </c>
    </row>
    <row r="46" spans="1:31" x14ac:dyDescent="0.25">
      <c r="A46" s="258"/>
      <c r="B46" s="263">
        <v>42270</v>
      </c>
      <c r="C46" s="258">
        <v>330</v>
      </c>
      <c r="D46" s="259">
        <v>29.15</v>
      </c>
      <c r="E46" s="259">
        <v>0</v>
      </c>
      <c r="F46" s="259">
        <f t="shared" si="5"/>
        <v>9619.5</v>
      </c>
      <c r="G46" s="258"/>
      <c r="H46" s="264"/>
      <c r="I46" s="258"/>
      <c r="J46" s="258"/>
      <c r="K46" s="258"/>
      <c r="L46" s="258"/>
      <c r="M46" s="258"/>
      <c r="O46" s="82">
        <v>1.05</v>
      </c>
      <c r="P46" s="82">
        <f t="shared" si="4"/>
        <v>37.800000000000004</v>
      </c>
      <c r="Q46" s="2"/>
      <c r="T46" s="86" t="s">
        <v>100</v>
      </c>
      <c r="U46" s="87" t="s">
        <v>664</v>
      </c>
      <c r="V46" s="408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5">
        <f t="shared" si="1"/>
        <v>4.4125758411472926E-3</v>
      </c>
    </row>
    <row r="47" spans="1:31" x14ac:dyDescent="0.25">
      <c r="A47" s="258"/>
      <c r="B47" s="263">
        <v>42276</v>
      </c>
      <c r="C47" s="258">
        <v>50</v>
      </c>
      <c r="D47" s="258">
        <v>27.95</v>
      </c>
      <c r="E47" s="259">
        <v>0</v>
      </c>
      <c r="F47" s="259">
        <f t="shared" si="5"/>
        <v>1397.5</v>
      </c>
      <c r="G47" s="258"/>
      <c r="H47" s="264"/>
      <c r="I47" s="258"/>
      <c r="J47" s="258"/>
      <c r="K47" s="258"/>
      <c r="L47" s="258"/>
      <c r="M47" s="258"/>
      <c r="O47" s="82">
        <v>1.04</v>
      </c>
      <c r="P47" s="82">
        <f t="shared" si="4"/>
        <v>37.44</v>
      </c>
      <c r="Q47" s="2"/>
      <c r="T47" s="86" t="s">
        <v>101</v>
      </c>
      <c r="U47" s="87">
        <v>40.03</v>
      </c>
      <c r="V47" s="408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5">
        <f t="shared" si="1"/>
        <v>-8.2056892778994417E-3</v>
      </c>
    </row>
    <row r="48" spans="1:31" x14ac:dyDescent="0.25">
      <c r="A48" s="258"/>
      <c r="B48" s="263">
        <v>42293</v>
      </c>
      <c r="C48" s="258">
        <v>80</v>
      </c>
      <c r="D48" s="259">
        <v>32.090000000000003</v>
      </c>
      <c r="E48" s="259">
        <v>0</v>
      </c>
      <c r="F48" s="259">
        <f t="shared" si="5"/>
        <v>2567.2000000000003</v>
      </c>
      <c r="G48" s="258"/>
      <c r="H48" s="264"/>
      <c r="I48" s="258"/>
      <c r="J48" s="258"/>
      <c r="K48" s="258"/>
      <c r="L48" s="258"/>
      <c r="M48" s="258"/>
      <c r="O48" s="82">
        <v>1.03</v>
      </c>
      <c r="P48" s="82">
        <f t="shared" si="4"/>
        <v>37.08</v>
      </c>
      <c r="Q48" s="2"/>
      <c r="T48" s="86" t="s">
        <v>102</v>
      </c>
      <c r="U48" s="87">
        <v>1.1121399999999999</v>
      </c>
      <c r="V48" s="408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5">
        <f t="shared" si="1"/>
        <v>-1.5881561238223374E-2</v>
      </c>
    </row>
    <row r="49" spans="1:31" x14ac:dyDescent="0.25">
      <c r="A49" s="258"/>
      <c r="B49" s="263">
        <v>42293</v>
      </c>
      <c r="C49" s="258">
        <v>80</v>
      </c>
      <c r="D49" s="259">
        <v>31.95</v>
      </c>
      <c r="E49" s="259">
        <v>0</v>
      </c>
      <c r="F49" s="259">
        <f t="shared" si="5"/>
        <v>2556</v>
      </c>
      <c r="G49" s="258"/>
      <c r="H49" s="264"/>
      <c r="I49" s="258"/>
      <c r="J49" s="258"/>
      <c r="K49" s="258"/>
      <c r="L49" s="258"/>
      <c r="M49" s="258"/>
      <c r="O49" s="82">
        <v>1.02</v>
      </c>
      <c r="P49" s="82">
        <f t="shared" si="4"/>
        <v>36.72</v>
      </c>
      <c r="Q49" s="2"/>
      <c r="T49" s="86" t="s">
        <v>103</v>
      </c>
      <c r="U49" s="88" t="s">
        <v>446</v>
      </c>
      <c r="V49" s="409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5">
        <f t="shared" si="1"/>
        <v>-1.4850172368072179E-2</v>
      </c>
    </row>
    <row r="50" spans="1:31" x14ac:dyDescent="0.25">
      <c r="A50" s="258"/>
      <c r="B50" s="263">
        <v>42293</v>
      </c>
      <c r="C50" s="258">
        <v>120</v>
      </c>
      <c r="D50" s="259">
        <v>31.75</v>
      </c>
      <c r="E50" s="259">
        <v>0</v>
      </c>
      <c r="F50" s="259">
        <f t="shared" si="5"/>
        <v>3810</v>
      </c>
      <c r="G50" s="258"/>
      <c r="H50" s="264"/>
      <c r="I50" s="258"/>
      <c r="J50" s="258"/>
      <c r="K50" s="258"/>
      <c r="L50" s="258"/>
      <c r="M50" s="258"/>
      <c r="O50" s="82">
        <v>1.01</v>
      </c>
      <c r="P50" s="82">
        <f t="shared" si="4"/>
        <v>36.36</v>
      </c>
      <c r="Q50" s="2"/>
      <c r="T50" s="86"/>
      <c r="U50" s="87"/>
      <c r="V50" s="408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5">
        <f t="shared" si="1"/>
        <v>1.1263073209975882E-2</v>
      </c>
    </row>
    <row r="51" spans="1:31" x14ac:dyDescent="0.25">
      <c r="A51" s="258"/>
      <c r="B51" s="263">
        <v>42293</v>
      </c>
      <c r="C51" s="258">
        <v>150</v>
      </c>
      <c r="D51" s="259">
        <v>31.05</v>
      </c>
      <c r="E51" s="259">
        <v>0</v>
      </c>
      <c r="F51" s="259">
        <f t="shared" si="5"/>
        <v>4657.5</v>
      </c>
      <c r="G51" s="259"/>
      <c r="H51" s="264"/>
      <c r="I51" s="258"/>
      <c r="J51" s="258"/>
      <c r="K51" s="259"/>
      <c r="L51" s="258"/>
      <c r="M51" s="258"/>
      <c r="O51" s="82">
        <v>1</v>
      </c>
      <c r="P51" s="82">
        <f t="shared" si="4"/>
        <v>36</v>
      </c>
      <c r="Q51" s="2"/>
      <c r="T51" s="86" t="s">
        <v>104</v>
      </c>
      <c r="U51" s="87" t="s">
        <v>665</v>
      </c>
      <c r="V51" s="408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5">
        <f t="shared" si="1"/>
        <v>-6.3948840927259276E-3</v>
      </c>
    </row>
    <row r="52" spans="1:31" x14ac:dyDescent="0.25">
      <c r="A52" s="258"/>
      <c r="B52" s="258"/>
      <c r="C52" s="258"/>
      <c r="D52" s="258"/>
      <c r="E52" s="259"/>
      <c r="F52" s="258"/>
      <c r="G52" s="259"/>
      <c r="H52" s="264"/>
      <c r="I52" s="259"/>
      <c r="J52" s="258"/>
      <c r="K52" s="259"/>
      <c r="L52" s="258"/>
      <c r="M52" s="258"/>
      <c r="O52" s="82">
        <v>0.99</v>
      </c>
      <c r="P52" s="82">
        <f t="shared" si="4"/>
        <v>35.64</v>
      </c>
      <c r="Q52" s="2"/>
      <c r="T52" s="86" t="s">
        <v>105</v>
      </c>
      <c r="U52" s="87" t="s">
        <v>543</v>
      </c>
      <c r="V52" s="408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5">
        <f t="shared" si="1"/>
        <v>4.8192771084336616E-3</v>
      </c>
    </row>
    <row r="53" spans="1:31" x14ac:dyDescent="0.25">
      <c r="A53" s="258"/>
      <c r="B53" s="258"/>
      <c r="C53" s="258"/>
      <c r="D53" s="258"/>
      <c r="E53" s="258"/>
      <c r="F53" s="258"/>
      <c r="G53" s="258"/>
      <c r="H53" s="264"/>
      <c r="I53" s="258"/>
      <c r="J53" s="258"/>
      <c r="K53" s="258"/>
      <c r="L53" s="258"/>
      <c r="M53" s="258"/>
      <c r="O53" s="82">
        <v>0.98</v>
      </c>
      <c r="P53" s="82">
        <f t="shared" si="4"/>
        <v>35.28</v>
      </c>
      <c r="Q53" s="2"/>
      <c r="T53" s="86" t="s">
        <v>106</v>
      </c>
      <c r="U53" s="89">
        <v>22455525</v>
      </c>
      <c r="V53" s="410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5">
        <f t="shared" si="1"/>
        <v>2.3007395234182493E-2</v>
      </c>
    </row>
    <row r="54" spans="1:31" x14ac:dyDescent="0.25">
      <c r="A54" s="258"/>
      <c r="B54" s="258"/>
      <c r="C54" s="258"/>
      <c r="D54" s="258"/>
      <c r="E54" s="258"/>
      <c r="F54" s="258"/>
      <c r="G54" s="258"/>
      <c r="H54" s="264"/>
      <c r="I54" s="258"/>
      <c r="J54" s="258"/>
      <c r="K54" s="258"/>
      <c r="L54" s="258"/>
      <c r="M54" s="258"/>
      <c r="O54" s="82">
        <v>0.97</v>
      </c>
      <c r="P54" s="82">
        <f t="shared" si="4"/>
        <v>34.92</v>
      </c>
      <c r="T54" s="86" t="s">
        <v>109</v>
      </c>
      <c r="U54" s="89">
        <v>24240000</v>
      </c>
      <c r="V54" s="410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5">
        <f t="shared" si="1"/>
        <v>-4.6346782988004875E-3</v>
      </c>
    </row>
    <row r="55" spans="1:31" x14ac:dyDescent="0.25">
      <c r="A55" s="258"/>
      <c r="B55" s="258"/>
      <c r="C55" s="258"/>
      <c r="D55" s="258"/>
      <c r="E55" s="258"/>
      <c r="F55" s="258"/>
      <c r="G55" s="258"/>
      <c r="H55" s="264"/>
      <c r="I55" s="258"/>
      <c r="J55" s="258"/>
      <c r="K55" s="258"/>
      <c r="L55" s="258"/>
      <c r="M55" s="258"/>
      <c r="O55" s="82">
        <v>0.96</v>
      </c>
      <c r="P55" s="82">
        <f t="shared" si="4"/>
        <v>34.56</v>
      </c>
      <c r="T55" s="86" t="s">
        <v>107</v>
      </c>
      <c r="U55" s="87" t="s">
        <v>666</v>
      </c>
      <c r="V55" s="408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5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34.199999999999996</v>
      </c>
      <c r="T56" s="86" t="s">
        <v>110</v>
      </c>
      <c r="U56" s="87">
        <v>17.079999999999998</v>
      </c>
      <c r="V56" s="408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5">
        <f t="shared" si="1"/>
        <v>-5.2054794520547398E-3</v>
      </c>
    </row>
    <row r="57" spans="1:31" x14ac:dyDescent="0.25">
      <c r="O57" s="82">
        <v>0.94</v>
      </c>
      <c r="P57" s="82">
        <f t="shared" si="4"/>
        <v>33.839999999999996</v>
      </c>
      <c r="T57" s="86" t="s">
        <v>111</v>
      </c>
      <c r="U57" s="87">
        <v>2.12</v>
      </c>
      <c r="V57" s="408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5">
        <f t="shared" si="1"/>
        <v>-1.0946907498631253E-3</v>
      </c>
    </row>
    <row r="58" spans="1:31" x14ac:dyDescent="0.25">
      <c r="O58" s="82">
        <v>0.93</v>
      </c>
      <c r="P58" s="82">
        <f t="shared" si="4"/>
        <v>33.480000000000004</v>
      </c>
      <c r="T58" s="86" t="s">
        <v>108</v>
      </c>
      <c r="U58" s="87" t="s">
        <v>584</v>
      </c>
      <c r="V58" s="408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5">
        <f t="shared" si="1"/>
        <v>2.7374760470832982E-4</v>
      </c>
    </row>
    <row r="59" spans="1:31" x14ac:dyDescent="0.25">
      <c r="O59" s="82">
        <v>0.92</v>
      </c>
      <c r="P59" s="82">
        <f t="shared" si="4"/>
        <v>33.120000000000005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5">
        <f t="shared" si="1"/>
        <v>2.1947873799725848E-3</v>
      </c>
    </row>
    <row r="60" spans="1:31" x14ac:dyDescent="0.25">
      <c r="O60" s="82">
        <v>0.91</v>
      </c>
      <c r="P60" s="82">
        <f t="shared" si="4"/>
        <v>32.76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5">
        <f t="shared" si="1"/>
        <v>-6.5412919051511809E-3</v>
      </c>
    </row>
    <row r="61" spans="1:31" x14ac:dyDescent="0.25">
      <c r="O61" s="82">
        <v>0.9</v>
      </c>
      <c r="P61" s="82">
        <f t="shared" si="4"/>
        <v>32.4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5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5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5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5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5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5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5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5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2" priority="7">
      <formula>F21&gt;0</formula>
    </cfRule>
    <cfRule type="expression" dxfId="611" priority="8">
      <formula>F21&lt;0</formula>
    </cfRule>
  </conditionalFormatting>
  <conditionalFormatting sqref="F22">
    <cfRule type="expression" dxfId="610" priority="5">
      <formula>F22&gt;0</formula>
    </cfRule>
    <cfRule type="expression" dxfId="609" priority="6">
      <formula>F22&lt;0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5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3" t="s">
        <v>113</v>
      </c>
      <c r="X1" s="124" t="s">
        <v>114</v>
      </c>
      <c r="Y1" s="124" t="s">
        <v>115</v>
      </c>
      <c r="Z1" s="124" t="s">
        <v>116</v>
      </c>
      <c r="AA1" s="124" t="s">
        <v>117</v>
      </c>
      <c r="AB1" s="123" t="s">
        <v>118</v>
      </c>
      <c r="AC1" s="124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7"/>
      <c r="E2" s="3"/>
      <c r="F2" s="3"/>
      <c r="G2" s="73"/>
      <c r="H2" s="388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5">
        <f>AC2/AC3-1</f>
        <v>-9.0260285474391688E-3</v>
      </c>
    </row>
    <row r="3" spans="1:40" x14ac:dyDescent="0.25">
      <c r="A3" s="23" t="s">
        <v>71</v>
      </c>
      <c r="B3" s="116"/>
      <c r="C3" s="4"/>
      <c r="D3" s="237"/>
      <c r="E3" s="3"/>
      <c r="F3" s="3"/>
      <c r="G3" s="73"/>
      <c r="H3" s="388"/>
      <c r="I3" s="74"/>
      <c r="J3" s="74"/>
      <c r="K3" s="74"/>
      <c r="L3" s="73"/>
      <c r="M3" s="3"/>
      <c r="O3" s="11" t="s">
        <v>58</v>
      </c>
      <c r="Q3" s="79">
        <f>IF(Q2=0, Q4, (F18-K18-M18)/Q2)</f>
        <v>40.700000000000003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5">
        <f t="shared" ref="AE3:AE66" si="1">AC3/AC4-1</f>
        <v>1.426442410048967E-2</v>
      </c>
      <c r="AK3" s="231"/>
      <c r="AN3" s="231"/>
    </row>
    <row r="4" spans="1:40" x14ac:dyDescent="0.25">
      <c r="B4" s="116"/>
      <c r="C4" s="4"/>
      <c r="D4" s="237"/>
      <c r="E4" s="3"/>
      <c r="F4" s="3"/>
      <c r="G4" s="73"/>
      <c r="H4" s="182"/>
      <c r="I4" s="3"/>
      <c r="J4" s="3"/>
      <c r="K4" s="74"/>
      <c r="L4" s="73"/>
      <c r="M4" s="3"/>
      <c r="O4" s="11" t="s">
        <v>66</v>
      </c>
      <c r="Q4" s="198">
        <v>40.700000000000003</v>
      </c>
      <c r="R4" s="497">
        <v>3.8999999999999998E-3</v>
      </c>
      <c r="T4" s="122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5">
        <f t="shared" si="1"/>
        <v>-2.5720804812279674E-2</v>
      </c>
      <c r="AK4" s="231"/>
      <c r="AN4" s="231"/>
    </row>
    <row r="5" spans="1:40" x14ac:dyDescent="0.25">
      <c r="B5" s="108"/>
      <c r="C5" s="4"/>
      <c r="D5" s="237"/>
      <c r="E5" s="3"/>
      <c r="F5" s="3"/>
      <c r="G5" s="4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5">
        <f t="shared" si="1"/>
        <v>-1.5720702327480574E-2</v>
      </c>
      <c r="AK5" s="231"/>
      <c r="AN5" s="231"/>
    </row>
    <row r="6" spans="1:40" x14ac:dyDescent="0.25">
      <c r="B6" s="108"/>
      <c r="C6" s="4"/>
      <c r="D6" s="237"/>
      <c r="E6" s="3"/>
      <c r="F6" s="3"/>
      <c r="G6" s="4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5">
        <f t="shared" si="1"/>
        <v>-1.5675241157556252E-2</v>
      </c>
      <c r="AK6" s="231"/>
      <c r="AN6" s="231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5">
        <f t="shared" si="1"/>
        <v>4.8682824025289673E-2</v>
      </c>
    </row>
    <row r="8" spans="1:40" x14ac:dyDescent="0.25">
      <c r="O8" s="11" t="s">
        <v>181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5">
        <f t="shared" si="1"/>
        <v>3.6252456868312022E-2</v>
      </c>
    </row>
    <row r="9" spans="1:40" x14ac:dyDescent="0.25">
      <c r="O9" s="11" t="s">
        <v>211</v>
      </c>
      <c r="Q9" s="135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5">
        <f t="shared" si="1"/>
        <v>-6.7245119305857637E-3</v>
      </c>
    </row>
    <row r="10" spans="1:40" x14ac:dyDescent="0.25">
      <c r="O10" s="11" t="s">
        <v>210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5">
        <f t="shared" si="1"/>
        <v>-9.4542329179200246E-3</v>
      </c>
    </row>
    <row r="11" spans="1:40" x14ac:dyDescent="0.25">
      <c r="O11" s="11" t="s">
        <v>176</v>
      </c>
      <c r="P11" s="34"/>
      <c r="Q11" s="135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5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5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5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5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5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5">
        <f t="shared" si="1"/>
        <v>-1.1393692777212472E-2</v>
      </c>
    </row>
    <row r="17" spans="1:31" x14ac:dyDescent="0.25">
      <c r="C17" s="4"/>
      <c r="D17" s="237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5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5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5" t="e">
        <f t="shared" si="1"/>
        <v>#DIV/0!</v>
      </c>
    </row>
    <row r="20" spans="1:31" x14ac:dyDescent="0.25">
      <c r="B20" s="188" t="s">
        <v>113</v>
      </c>
      <c r="C20" s="188" t="s">
        <v>146</v>
      </c>
      <c r="D20" s="196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5">
        <f t="shared" si="1"/>
        <v>-1</v>
      </c>
    </row>
    <row r="21" spans="1:31" x14ac:dyDescent="0.25">
      <c r="B21" s="190">
        <v>42304</v>
      </c>
      <c r="C21" s="10">
        <v>5</v>
      </c>
      <c r="D21" s="197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8"/>
      <c r="I21" s="192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5">
        <f t="shared" si="1"/>
        <v>-1.9742310889443004E-2</v>
      </c>
    </row>
    <row r="22" spans="1:31" x14ac:dyDescent="0.25">
      <c r="B22" s="190">
        <v>42305</v>
      </c>
      <c r="C22" s="10">
        <v>125</v>
      </c>
      <c r="D22" s="197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8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5">
        <f t="shared" si="1"/>
        <v>1.0499790004199872E-2</v>
      </c>
    </row>
    <row r="23" spans="1:31" x14ac:dyDescent="0.25">
      <c r="B23" s="190">
        <v>42311</v>
      </c>
      <c r="C23" s="10">
        <v>115</v>
      </c>
      <c r="D23" s="197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8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5">
        <f t="shared" si="1"/>
        <v>-3.3096446700507709E-2</v>
      </c>
    </row>
    <row r="24" spans="1:31" x14ac:dyDescent="0.25">
      <c r="B24" s="190">
        <v>42332</v>
      </c>
      <c r="C24" s="10">
        <v>40</v>
      </c>
      <c r="D24" s="197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8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5">
        <f t="shared" si="1"/>
        <v>-2.9747832939322261E-2</v>
      </c>
    </row>
    <row r="25" spans="1:31" x14ac:dyDescent="0.25">
      <c r="B25" s="190">
        <v>42335</v>
      </c>
      <c r="C25" s="10">
        <v>80</v>
      </c>
      <c r="D25" s="197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8">
        <f>(E25-D25)/D25</f>
        <v>0.37083864980860709</v>
      </c>
      <c r="I25" s="192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5">
        <f t="shared" si="1"/>
        <v>0</v>
      </c>
    </row>
    <row r="26" spans="1:31" x14ac:dyDescent="0.25">
      <c r="B26" s="190">
        <v>42344</v>
      </c>
      <c r="C26" s="10">
        <v>80</v>
      </c>
      <c r="D26" s="197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8">
        <f t="shared" ref="H26:H58" si="4">(E26-D26)/D26</f>
        <v>0.27363414917062989</v>
      </c>
      <c r="I26" s="192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5">
        <f t="shared" si="1"/>
        <v>-1.4177510196154652E-2</v>
      </c>
    </row>
    <row r="27" spans="1:31" x14ac:dyDescent="0.25">
      <c r="B27" s="190">
        <v>42349</v>
      </c>
      <c r="C27" s="10">
        <v>125</v>
      </c>
      <c r="D27" s="197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8">
        <f t="shared" si="4"/>
        <v>0.10229508196721311</v>
      </c>
      <c r="I27" s="192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5">
        <f t="shared" si="1"/>
        <v>1.9459038723488309E-3</v>
      </c>
    </row>
    <row r="28" spans="1:31" x14ac:dyDescent="0.25">
      <c r="B28" s="190">
        <v>42349</v>
      </c>
      <c r="C28" s="10">
        <v>200</v>
      </c>
      <c r="D28" s="197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8">
        <f t="shared" si="4"/>
        <v>6.1684210526315786E-2</v>
      </c>
      <c r="I28" s="192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5">
        <f t="shared" si="1"/>
        <v>4.2993941762752286E-3</v>
      </c>
    </row>
    <row r="29" spans="1:31" x14ac:dyDescent="0.25">
      <c r="B29" s="190">
        <v>42349</v>
      </c>
      <c r="C29" s="10">
        <v>700</v>
      </c>
      <c r="D29" s="197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8">
        <f t="shared" si="4"/>
        <v>2.3543738583316348E-2</v>
      </c>
      <c r="I29" s="192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5">
        <f t="shared" si="1"/>
        <v>-2.3659606945239386E-2</v>
      </c>
    </row>
    <row r="30" spans="1:31" x14ac:dyDescent="0.25">
      <c r="B30" s="190">
        <v>42349</v>
      </c>
      <c r="C30" s="10">
        <v>500</v>
      </c>
      <c r="D30" s="197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8">
        <f t="shared" si="4"/>
        <v>3.0866721177432502E-2</v>
      </c>
      <c r="I30" s="192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5">
        <f t="shared" si="1"/>
        <v>3.8306837770540891E-3</v>
      </c>
    </row>
    <row r="31" spans="1:31" x14ac:dyDescent="0.25">
      <c r="B31" s="190">
        <v>42349</v>
      </c>
      <c r="C31" s="279">
        <v>400</v>
      </c>
      <c r="D31" s="280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8">
        <f t="shared" si="4"/>
        <v>3.7440855790989512E-2</v>
      </c>
      <c r="I31" s="192"/>
      <c r="W31" s="109">
        <v>42790</v>
      </c>
      <c r="X31" s="194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5">
        <f t="shared" si="1"/>
        <v>-5.7427258805520243E-4</v>
      </c>
    </row>
    <row r="32" spans="1:31" x14ac:dyDescent="0.25">
      <c r="B32" s="190">
        <v>42356</v>
      </c>
      <c r="C32" s="10">
        <v>400</v>
      </c>
      <c r="D32" s="197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8">
        <f t="shared" si="4"/>
        <v>1.2137420283892274E-2</v>
      </c>
      <c r="I32" s="192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5">
        <f t="shared" si="1"/>
        <v>1.8522129069994175E-2</v>
      </c>
    </row>
    <row r="33" spans="2:31" x14ac:dyDescent="0.25">
      <c r="B33" s="190">
        <v>42359</v>
      </c>
      <c r="C33" s="10">
        <v>1000</v>
      </c>
      <c r="D33" s="197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8">
        <f t="shared" si="4"/>
        <v>-4.1476565740355817E-3</v>
      </c>
      <c r="I33" s="192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5">
        <f t="shared" si="1"/>
        <v>-2.3791397030833661E-2</v>
      </c>
    </row>
    <row r="34" spans="2:31" x14ac:dyDescent="0.25">
      <c r="B34" s="190">
        <v>42361</v>
      </c>
      <c r="C34" s="10">
        <v>600</v>
      </c>
      <c r="D34" s="197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8">
        <f t="shared" si="4"/>
        <v>8.7957559681697675E-2</v>
      </c>
      <c r="I34" s="192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5">
        <f t="shared" si="1"/>
        <v>2.0590520590520578E-2</v>
      </c>
    </row>
    <row r="35" spans="2:31" x14ac:dyDescent="0.25">
      <c r="B35" s="190">
        <v>46026</v>
      </c>
      <c r="C35" s="10">
        <v>600</v>
      </c>
      <c r="D35" s="197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8">
        <f t="shared" si="4"/>
        <v>2.5979557069846653E-2</v>
      </c>
      <c r="I35" s="192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5">
        <f t="shared" si="1"/>
        <v>8.818342151675429E-3</v>
      </c>
    </row>
    <row r="36" spans="2:31" x14ac:dyDescent="0.25">
      <c r="B36" s="190">
        <v>42374</v>
      </c>
      <c r="C36" s="279">
        <v>600</v>
      </c>
      <c r="D36" s="280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8">
        <f t="shared" si="4"/>
        <v>2.5230874229530569E-2</v>
      </c>
      <c r="I36" s="192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5">
        <f t="shared" si="1"/>
        <v>4.923198109491933E-3</v>
      </c>
    </row>
    <row r="37" spans="2:31" x14ac:dyDescent="0.25">
      <c r="B37" s="190">
        <v>42375</v>
      </c>
      <c r="C37" s="279">
        <v>750</v>
      </c>
      <c r="D37" s="280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8">
        <f t="shared" si="4"/>
        <v>-3.3869239013933509E-2</v>
      </c>
      <c r="I37" s="192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5">
        <f t="shared" si="1"/>
        <v>-1.8364585346993922E-2</v>
      </c>
    </row>
    <row r="38" spans="2:31" x14ac:dyDescent="0.25">
      <c r="B38" s="190">
        <v>42398</v>
      </c>
      <c r="C38" s="279">
        <v>600</v>
      </c>
      <c r="D38" s="280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29">
        <f t="shared" si="4"/>
        <v>-0.14160948222083597</v>
      </c>
      <c r="I38" s="192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5">
        <f t="shared" si="1"/>
        <v>2.325130788606744E-3</v>
      </c>
    </row>
    <row r="39" spans="2:31" x14ac:dyDescent="0.25">
      <c r="B39" s="190">
        <v>42402</v>
      </c>
      <c r="C39" s="279">
        <v>750</v>
      </c>
      <c r="D39" s="280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29">
        <f t="shared" si="4"/>
        <v>-0.15110210067722038</v>
      </c>
      <c r="I39" s="192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5">
        <f t="shared" si="1"/>
        <v>-1.1870572467930218E-2</v>
      </c>
    </row>
    <row r="40" spans="2:31" x14ac:dyDescent="0.25">
      <c r="B40" s="190">
        <v>42405</v>
      </c>
      <c r="C40" s="279">
        <v>750</v>
      </c>
      <c r="D40" s="280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29">
        <f t="shared" si="4"/>
        <v>-0.17112472496656456</v>
      </c>
      <c r="I40" s="192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5">
        <f t="shared" si="1"/>
        <v>3.6510376633358543E-3</v>
      </c>
    </row>
    <row r="41" spans="2:31" x14ac:dyDescent="0.25">
      <c r="B41" s="190">
        <v>42421</v>
      </c>
      <c r="C41" s="279">
        <v>750</v>
      </c>
      <c r="D41" s="280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29">
        <f t="shared" si="4"/>
        <v>-8.7320419345096753E-2</v>
      </c>
      <c r="I41" s="192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5">
        <f t="shared" si="1"/>
        <v>1.5018529354398291E-2</v>
      </c>
    </row>
    <row r="42" spans="2:31" ht="20.25" thickBot="1" x14ac:dyDescent="0.35">
      <c r="B42" s="190">
        <v>42422</v>
      </c>
      <c r="C42" s="279">
        <v>750</v>
      </c>
      <c r="D42" s="280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29">
        <f t="shared" si="4"/>
        <v>-3.8353682212347355E-2</v>
      </c>
      <c r="I42" s="192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5">
        <f t="shared" si="1"/>
        <v>5.8548009367687115E-4</v>
      </c>
    </row>
    <row r="43" spans="2:31" ht="15.75" thickTop="1" x14ac:dyDescent="0.25">
      <c r="B43" s="190">
        <v>42424</v>
      </c>
      <c r="C43" s="279">
        <v>750</v>
      </c>
      <c r="D43" s="280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29">
        <f t="shared" si="4"/>
        <v>-0.10047888174640826</v>
      </c>
      <c r="I43" s="192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5">
        <f t="shared" si="1"/>
        <v>-3.1013615733736732E-2</v>
      </c>
    </row>
    <row r="44" spans="2:31" ht="20.25" thickBot="1" x14ac:dyDescent="0.35">
      <c r="B44" s="190">
        <v>42426</v>
      </c>
      <c r="C44" s="279">
        <v>750</v>
      </c>
      <c r="D44" s="280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29">
        <f t="shared" si="4"/>
        <v>-6.9852782454776954E-2</v>
      </c>
      <c r="I44" s="192"/>
      <c r="O44" s="716" t="s">
        <v>78</v>
      </c>
      <c r="P44" s="716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5">
        <f t="shared" si="1"/>
        <v>-2.110329507589781E-2</v>
      </c>
    </row>
    <row r="45" spans="2:31" ht="15.75" thickTop="1" x14ac:dyDescent="0.25">
      <c r="B45" s="190">
        <v>42426</v>
      </c>
      <c r="C45" s="279">
        <v>600</v>
      </c>
      <c r="D45" s="280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29">
        <f t="shared" si="4"/>
        <v>-7.9858897530706838E-2</v>
      </c>
      <c r="I45" s="192"/>
      <c r="O45" s="82">
        <v>1.1000000000000001</v>
      </c>
      <c r="P45" s="82">
        <f>O45*$Q$4</f>
        <v>44.77000000000001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5">
        <f t="shared" si="1"/>
        <v>6.3338301043218692E-3</v>
      </c>
    </row>
    <row r="46" spans="2:31" x14ac:dyDescent="0.25">
      <c r="B46" s="190">
        <v>42426</v>
      </c>
      <c r="C46" s="279">
        <v>750</v>
      </c>
      <c r="D46" s="280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29">
        <f t="shared" si="4"/>
        <v>-7.2147106544077896E-2</v>
      </c>
      <c r="I46" s="192"/>
      <c r="O46" s="82">
        <v>1.0900000000000001</v>
      </c>
      <c r="P46" s="82">
        <f t="shared" ref="P46:P65" si="5">O46*$Q$4</f>
        <v>44.363000000000007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5">
        <f t="shared" si="1"/>
        <v>8.4538793913206955E-3</v>
      </c>
    </row>
    <row r="47" spans="2:31" x14ac:dyDescent="0.25">
      <c r="B47" s="190">
        <v>42430</v>
      </c>
      <c r="C47" s="279">
        <v>750</v>
      </c>
      <c r="D47" s="280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29">
        <f t="shared" si="4"/>
        <v>-4.1427798810167636E-2</v>
      </c>
      <c r="I47" s="192"/>
      <c r="O47" s="82">
        <v>1.08</v>
      </c>
      <c r="P47" s="82">
        <f t="shared" si="5"/>
        <v>43.956000000000003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5">
        <f t="shared" si="1"/>
        <v>-1.2247170161440057E-2</v>
      </c>
    </row>
    <row r="48" spans="2:31" x14ac:dyDescent="0.25">
      <c r="B48" s="190">
        <v>42431</v>
      </c>
      <c r="C48" s="279">
        <v>450</v>
      </c>
      <c r="D48" s="280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29">
        <f t="shared" si="4"/>
        <v>2.6561064192884929E-2</v>
      </c>
      <c r="I48" s="192"/>
      <c r="O48" s="82">
        <v>1.07</v>
      </c>
      <c r="P48" s="82">
        <f t="shared" si="5"/>
        <v>43.549000000000007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5">
        <f t="shared" si="1"/>
        <v>4.2862467387254632E-3</v>
      </c>
    </row>
    <row r="49" spans="2:31" x14ac:dyDescent="0.25">
      <c r="B49" s="190">
        <v>42433</v>
      </c>
      <c r="C49" s="279">
        <v>400</v>
      </c>
      <c r="D49" s="280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29">
        <f t="shared" si="4"/>
        <v>0.11711911357340712</v>
      </c>
      <c r="I49" s="192"/>
      <c r="O49" s="82">
        <v>1.06</v>
      </c>
      <c r="P49" s="82">
        <f t="shared" si="5"/>
        <v>43.142000000000003</v>
      </c>
      <c r="Q49" s="2"/>
      <c r="R49" s="34"/>
      <c r="T49" s="107" t="s">
        <v>121</v>
      </c>
      <c r="U49" s="105" t="s">
        <v>391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5">
        <f t="shared" si="1"/>
        <v>-1.6855991205569798E-2</v>
      </c>
    </row>
    <row r="50" spans="2:31" x14ac:dyDescent="0.25">
      <c r="B50" s="190">
        <v>42433</v>
      </c>
      <c r="C50" s="279">
        <v>450</v>
      </c>
      <c r="D50" s="280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29">
        <f t="shared" si="4"/>
        <v>8.4287155198877362E-2</v>
      </c>
      <c r="I50" s="192"/>
      <c r="O50" s="82">
        <v>1.05</v>
      </c>
      <c r="P50" s="82">
        <f t="shared" si="5"/>
        <v>42.735000000000007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5">
        <f t="shared" si="1"/>
        <v>-2.3089314480042922E-2</v>
      </c>
    </row>
    <row r="51" spans="2:31" x14ac:dyDescent="0.25">
      <c r="B51" s="190">
        <v>42440</v>
      </c>
      <c r="C51" s="10">
        <v>150</v>
      </c>
      <c r="D51" s="197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29">
        <f t="shared" si="4"/>
        <v>0.40254354437379031</v>
      </c>
      <c r="I51" s="192"/>
      <c r="O51" s="82">
        <v>1.04</v>
      </c>
      <c r="P51" s="82">
        <f t="shared" si="5"/>
        <v>42.328000000000003</v>
      </c>
      <c r="Q51" s="2"/>
      <c r="R51" s="34"/>
      <c r="T51" s="107" t="s">
        <v>104</v>
      </c>
      <c r="U51" s="105" t="s">
        <v>667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5">
        <f t="shared" si="1"/>
        <v>-5.1638176638176825E-3</v>
      </c>
    </row>
    <row r="52" spans="2:31" x14ac:dyDescent="0.25">
      <c r="B52" s="190">
        <v>42440</v>
      </c>
      <c r="C52" s="10">
        <v>100</v>
      </c>
      <c r="D52" s="197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29">
        <f t="shared" si="4"/>
        <v>0.77830385740147601</v>
      </c>
      <c r="I52" s="192"/>
      <c r="O52" s="82">
        <v>1.03</v>
      </c>
      <c r="P52" s="82">
        <f t="shared" si="5"/>
        <v>41.921000000000006</v>
      </c>
      <c r="Q52" s="2"/>
      <c r="R52" s="34"/>
      <c r="T52" s="107" t="s">
        <v>105</v>
      </c>
      <c r="U52" s="105" t="s">
        <v>561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5">
        <f t="shared" si="1"/>
        <v>-1.8524991261796631E-2</v>
      </c>
    </row>
    <row r="53" spans="2:31" x14ac:dyDescent="0.25">
      <c r="B53" s="190">
        <v>42444</v>
      </c>
      <c r="C53" s="10">
        <v>150</v>
      </c>
      <c r="D53" s="197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29">
        <f t="shared" si="4"/>
        <v>0.4246365288505225</v>
      </c>
      <c r="I53" s="192"/>
      <c r="O53" s="82">
        <v>1.02</v>
      </c>
      <c r="P53" s="82">
        <f t="shared" si="5"/>
        <v>41.514000000000003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5">
        <f t="shared" si="1"/>
        <v>6.5083553210201206E-3</v>
      </c>
    </row>
    <row r="54" spans="2:31" x14ac:dyDescent="0.25">
      <c r="B54" s="190">
        <v>42445</v>
      </c>
      <c r="C54" s="10">
        <v>130</v>
      </c>
      <c r="D54" s="197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29">
        <f t="shared" si="4"/>
        <v>0.58496682058652638</v>
      </c>
      <c r="I54" s="192"/>
      <c r="O54" s="82">
        <v>1.01</v>
      </c>
      <c r="P54" s="82">
        <f t="shared" si="5"/>
        <v>41.107000000000006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5">
        <f t="shared" si="1"/>
        <v>-1.4218831281428868E-2</v>
      </c>
    </row>
    <row r="55" spans="2:31" x14ac:dyDescent="0.25">
      <c r="B55" s="190">
        <v>42446</v>
      </c>
      <c r="C55" s="10">
        <v>50</v>
      </c>
      <c r="D55" s="197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29"/>
      <c r="I55" s="192"/>
      <c r="O55" s="82">
        <v>1</v>
      </c>
      <c r="P55" s="82">
        <f t="shared" si="5"/>
        <v>40.700000000000003</v>
      </c>
      <c r="Q55" s="2"/>
      <c r="R55" s="34"/>
      <c r="T55" s="107" t="s">
        <v>107</v>
      </c>
      <c r="U55" s="105" t="s">
        <v>668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5">
        <f t="shared" si="1"/>
        <v>4.3538836642285084E-3</v>
      </c>
    </row>
    <row r="56" spans="2:31" x14ac:dyDescent="0.25">
      <c r="B56" s="190">
        <v>42452</v>
      </c>
      <c r="C56" s="10">
        <v>100</v>
      </c>
      <c r="D56" s="197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29">
        <f t="shared" si="4"/>
        <v>1.0194113963681903</v>
      </c>
      <c r="I56" s="192"/>
      <c r="O56" s="82">
        <v>0.99</v>
      </c>
      <c r="P56" s="82">
        <f t="shared" si="5"/>
        <v>40.292999999999999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5">
        <f t="shared" si="1"/>
        <v>-1.8796992481203034E-2</v>
      </c>
    </row>
    <row r="57" spans="2:31" x14ac:dyDescent="0.25">
      <c r="B57" s="190">
        <v>42460</v>
      </c>
      <c r="C57" s="10">
        <v>50</v>
      </c>
      <c r="D57" s="197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29"/>
      <c r="I57" s="192"/>
      <c r="O57" s="82">
        <v>0.98</v>
      </c>
      <c r="P57" s="82">
        <f t="shared" si="5"/>
        <v>39.886000000000003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5">
        <f t="shared" si="1"/>
        <v>-7.9674521105271845E-3</v>
      </c>
    </row>
    <row r="58" spans="2:31" x14ac:dyDescent="0.25">
      <c r="B58" s="190">
        <v>42464</v>
      </c>
      <c r="C58" s="10">
        <v>100</v>
      </c>
      <c r="D58" s="197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29">
        <f t="shared" si="4"/>
        <v>1.0851379779730232</v>
      </c>
      <c r="I58" s="192"/>
      <c r="O58" s="82">
        <v>0.97</v>
      </c>
      <c r="P58" s="82">
        <f t="shared" si="5"/>
        <v>39.478999999999999</v>
      </c>
      <c r="Q58" s="2"/>
      <c r="R58" s="34"/>
      <c r="T58" s="107" t="s">
        <v>108</v>
      </c>
      <c r="U58" s="105" t="s">
        <v>585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5">
        <f t="shared" si="1"/>
        <v>6.9989757596449209E-3</v>
      </c>
    </row>
    <row r="59" spans="2:31" x14ac:dyDescent="0.25">
      <c r="B59" s="190">
        <v>42466</v>
      </c>
      <c r="C59" s="10">
        <v>50</v>
      </c>
      <c r="D59" s="197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29"/>
      <c r="I59" s="192"/>
      <c r="O59" s="82">
        <v>0.96</v>
      </c>
      <c r="P59" s="82">
        <f t="shared" si="5"/>
        <v>39.072000000000003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5">
        <f t="shared" si="1"/>
        <v>6.8329347454731959E-4</v>
      </c>
    </row>
    <row r="60" spans="2:31" x14ac:dyDescent="0.25">
      <c r="B60" s="190">
        <v>42471</v>
      </c>
      <c r="C60" s="10">
        <v>30</v>
      </c>
      <c r="D60" s="197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29"/>
      <c r="I60" s="192"/>
      <c r="O60" s="82">
        <v>0.95</v>
      </c>
      <c r="P60" s="82">
        <f t="shared" si="5"/>
        <v>38.664999999999999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5">
        <f t="shared" si="1"/>
        <v>-4.8284831734677236E-2</v>
      </c>
    </row>
    <row r="61" spans="2:31" x14ac:dyDescent="0.25">
      <c r="B61" s="190">
        <v>42478</v>
      </c>
      <c r="C61" s="10">
        <v>10</v>
      </c>
      <c r="D61" s="197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29"/>
      <c r="I61" s="192"/>
      <c r="O61" s="82">
        <v>0.94</v>
      </c>
      <c r="P61" s="82">
        <f t="shared" si="5"/>
        <v>38.258000000000003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5">
        <f t="shared" si="1"/>
        <v>6.2162604285946887E-3</v>
      </c>
    </row>
    <row r="62" spans="2:31" x14ac:dyDescent="0.25">
      <c r="B62" s="190">
        <v>42493</v>
      </c>
      <c r="C62" s="10">
        <v>30</v>
      </c>
      <c r="D62" s="197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29"/>
      <c r="I62" s="192"/>
      <c r="O62" s="82">
        <v>0.93</v>
      </c>
      <c r="P62" s="82">
        <f t="shared" si="5"/>
        <v>37.851000000000006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5">
        <f t="shared" si="1"/>
        <v>1.3932658815724031E-2</v>
      </c>
    </row>
    <row r="63" spans="2:31" x14ac:dyDescent="0.25">
      <c r="B63" s="190">
        <v>42501</v>
      </c>
      <c r="C63" s="10">
        <v>0</v>
      </c>
      <c r="D63" s="197"/>
      <c r="E63" s="40"/>
      <c r="F63" s="40">
        <v>3178</v>
      </c>
      <c r="G63" s="40"/>
      <c r="H63" s="229"/>
      <c r="I63" s="192"/>
      <c r="O63" s="82">
        <v>0.92</v>
      </c>
      <c r="P63" s="82">
        <f t="shared" si="5"/>
        <v>37.444000000000003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5">
        <f t="shared" si="1"/>
        <v>-2.0789345460451525E-2</v>
      </c>
    </row>
    <row r="64" spans="2:31" x14ac:dyDescent="0.25">
      <c r="B64" s="190"/>
      <c r="C64" s="10"/>
      <c r="D64" s="197"/>
      <c r="E64" s="40"/>
      <c r="F64" s="40"/>
      <c r="G64" s="40"/>
      <c r="H64" s="229"/>
      <c r="I64" s="192"/>
      <c r="O64" s="82">
        <v>0.91</v>
      </c>
      <c r="P64" s="82">
        <f t="shared" si="5"/>
        <v>37.037000000000006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5">
        <f t="shared" si="1"/>
        <v>-3.2378177108629558E-3</v>
      </c>
    </row>
    <row r="65" spans="1:31" x14ac:dyDescent="0.25">
      <c r="B65" s="190"/>
      <c r="C65" s="10"/>
      <c r="D65" s="197"/>
      <c r="E65" s="40"/>
      <c r="F65" s="40"/>
      <c r="G65" s="40"/>
      <c r="H65" s="229"/>
      <c r="I65" s="192"/>
      <c r="O65" s="82">
        <v>0.9</v>
      </c>
      <c r="P65" s="82">
        <f t="shared" si="5"/>
        <v>36.630000000000003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5">
        <f t="shared" si="1"/>
        <v>2.7597402597403509E-3</v>
      </c>
    </row>
    <row r="66" spans="1:31" x14ac:dyDescent="0.25">
      <c r="B66" s="190"/>
      <c r="C66" s="10"/>
      <c r="D66" s="197"/>
      <c r="E66" s="40"/>
      <c r="F66" s="40"/>
      <c r="G66" s="40"/>
      <c r="H66" s="229"/>
      <c r="I66" s="192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5">
        <f t="shared" si="1"/>
        <v>-1.4242278764602379E-2</v>
      </c>
    </row>
    <row r="67" spans="1:31" x14ac:dyDescent="0.25">
      <c r="B67" s="190"/>
      <c r="C67" s="10"/>
      <c r="D67" s="197"/>
      <c r="E67" s="40"/>
      <c r="F67" s="40"/>
      <c r="G67" s="40"/>
      <c r="H67" s="229"/>
      <c r="I67" s="192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5">
        <f>AC67/AC68-1</f>
        <v>8.5539057456422984E-3</v>
      </c>
    </row>
    <row r="68" spans="1:31" x14ac:dyDescent="0.25">
      <c r="B68" s="190"/>
      <c r="C68" s="10"/>
      <c r="D68" s="197"/>
      <c r="E68" s="40"/>
      <c r="F68" s="40"/>
      <c r="G68" s="40"/>
      <c r="H68" s="229"/>
      <c r="I68" s="192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5" t="e">
        <f>AC68/AC69-1</f>
        <v>#DIV/0!</v>
      </c>
    </row>
    <row r="69" spans="1:31" x14ac:dyDescent="0.25">
      <c r="B69" s="190"/>
      <c r="C69" s="10"/>
      <c r="D69" s="197"/>
      <c r="E69" s="40"/>
      <c r="F69" s="40"/>
      <c r="G69" s="40"/>
      <c r="H69" s="229"/>
      <c r="I69" s="192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5" t="e">
        <f>AC69/AC70-1</f>
        <v>#DIV/0!</v>
      </c>
    </row>
    <row r="70" spans="1:31" x14ac:dyDescent="0.25">
      <c r="B70" s="190"/>
      <c r="C70" s="10"/>
      <c r="D70" s="197"/>
      <c r="E70" s="40"/>
      <c r="F70" s="40"/>
      <c r="G70" s="40"/>
      <c r="H70" s="229"/>
      <c r="I70" s="192"/>
    </row>
    <row r="71" spans="1:31" x14ac:dyDescent="0.25">
      <c r="B71" s="190"/>
      <c r="C71" s="10"/>
      <c r="D71" s="197"/>
      <c r="E71" s="40"/>
      <c r="F71" s="40"/>
      <c r="G71" s="40"/>
      <c r="H71" s="229"/>
      <c r="I71" s="192"/>
    </row>
    <row r="72" spans="1:31" x14ac:dyDescent="0.25">
      <c r="B72" s="190"/>
      <c r="C72" s="10"/>
      <c r="D72" s="197"/>
      <c r="E72" s="40"/>
      <c r="F72" s="40"/>
      <c r="G72" s="40"/>
      <c r="H72" s="229"/>
      <c r="I72" s="192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9" t="s">
        <v>1</v>
      </c>
      <c r="B76" s="390" t="s">
        <v>2</v>
      </c>
      <c r="C76" s="389" t="s">
        <v>4</v>
      </c>
      <c r="D76" s="391" t="s">
        <v>5</v>
      </c>
      <c r="E76" s="392" t="s">
        <v>90</v>
      </c>
      <c r="F76" s="392" t="s">
        <v>60</v>
      </c>
      <c r="G76" s="389" t="s">
        <v>3</v>
      </c>
      <c r="H76" s="393" t="s">
        <v>6</v>
      </c>
      <c r="I76" s="392" t="s">
        <v>7</v>
      </c>
      <c r="J76" s="392" t="s">
        <v>89</v>
      </c>
      <c r="K76" s="392" t="s">
        <v>61</v>
      </c>
      <c r="L76" s="389" t="s">
        <v>43</v>
      </c>
      <c r="M76" s="389" t="s">
        <v>38</v>
      </c>
    </row>
    <row r="77" spans="1:31" x14ac:dyDescent="0.25">
      <c r="A77" s="385" t="s">
        <v>22</v>
      </c>
      <c r="B77" s="394">
        <v>42153</v>
      </c>
      <c r="C77" s="376">
        <v>20</v>
      </c>
      <c r="D77" s="381">
        <v>67.3</v>
      </c>
      <c r="E77" s="377">
        <v>0</v>
      </c>
      <c r="F77" s="377">
        <f t="shared" ref="F77:F126" si="6">D77*C77+E77</f>
        <v>1346</v>
      </c>
      <c r="G77" s="375">
        <v>42219</v>
      </c>
      <c r="H77" s="395">
        <v>25</v>
      </c>
      <c r="I77" s="396">
        <v>60.05</v>
      </c>
      <c r="J77" s="396">
        <v>0.03</v>
      </c>
      <c r="K77" s="396">
        <f t="shared" ref="K77:K112" si="7">H77*I77-J77</f>
        <v>1501.22</v>
      </c>
      <c r="L77" s="375">
        <v>42185</v>
      </c>
      <c r="M77" s="377">
        <v>5</v>
      </c>
    </row>
    <row r="78" spans="1:31" x14ac:dyDescent="0.25">
      <c r="A78" s="386" t="s">
        <v>71</v>
      </c>
      <c r="B78" s="394">
        <v>42205</v>
      </c>
      <c r="C78" s="376">
        <v>20</v>
      </c>
      <c r="D78" s="381">
        <v>63.4</v>
      </c>
      <c r="E78" s="377">
        <v>0</v>
      </c>
      <c r="F78" s="377">
        <f t="shared" si="6"/>
        <v>1268</v>
      </c>
      <c r="G78" s="375">
        <v>42219</v>
      </c>
      <c r="H78" s="395">
        <v>55</v>
      </c>
      <c r="I78" s="396">
        <v>59.75</v>
      </c>
      <c r="J78" s="396">
        <v>0.06</v>
      </c>
      <c r="K78" s="396">
        <f t="shared" si="7"/>
        <v>3286.19</v>
      </c>
      <c r="L78" s="375">
        <v>42277</v>
      </c>
      <c r="M78" s="377">
        <v>37.5</v>
      </c>
    </row>
    <row r="79" spans="1:31" x14ac:dyDescent="0.25">
      <c r="A79" s="376"/>
      <c r="B79" s="394">
        <v>42205</v>
      </c>
      <c r="C79" s="376">
        <v>20</v>
      </c>
      <c r="D79" s="381">
        <v>63.15</v>
      </c>
      <c r="E79" s="377">
        <v>0</v>
      </c>
      <c r="F79" s="377">
        <f t="shared" si="6"/>
        <v>1263</v>
      </c>
      <c r="G79" s="375">
        <v>42250</v>
      </c>
      <c r="H79" s="380">
        <v>100</v>
      </c>
      <c r="I79" s="377">
        <v>59.4</v>
      </c>
      <c r="J79" s="377">
        <v>0.11</v>
      </c>
      <c r="K79" s="396">
        <f t="shared" si="7"/>
        <v>5939.89</v>
      </c>
      <c r="L79" s="375">
        <v>42734</v>
      </c>
      <c r="M79" s="377">
        <v>100</v>
      </c>
    </row>
    <row r="80" spans="1:31" x14ac:dyDescent="0.25">
      <c r="A80" s="376"/>
      <c r="B80" s="394">
        <v>42207</v>
      </c>
      <c r="C80" s="376">
        <v>10</v>
      </c>
      <c r="D80" s="381">
        <v>62</v>
      </c>
      <c r="E80" s="377">
        <v>0</v>
      </c>
      <c r="F80" s="377">
        <f t="shared" si="6"/>
        <v>620</v>
      </c>
      <c r="G80" s="375">
        <v>42258</v>
      </c>
      <c r="H80" s="380">
        <v>80</v>
      </c>
      <c r="I80" s="377">
        <v>56.47</v>
      </c>
      <c r="J80" s="377">
        <v>0.08</v>
      </c>
      <c r="K80" s="396">
        <f t="shared" si="7"/>
        <v>4517.5200000000004</v>
      </c>
      <c r="L80" s="375">
        <v>42459</v>
      </c>
      <c r="M80" s="377">
        <v>25</v>
      </c>
    </row>
    <row r="81" spans="1:13" x14ac:dyDescent="0.25">
      <c r="A81" s="376"/>
      <c r="B81" s="394">
        <v>42207</v>
      </c>
      <c r="C81" s="376">
        <v>5</v>
      </c>
      <c r="D81" s="381">
        <v>61.6</v>
      </c>
      <c r="E81" s="377">
        <v>0</v>
      </c>
      <c r="F81" s="377">
        <f t="shared" si="6"/>
        <v>308</v>
      </c>
      <c r="G81" s="375">
        <v>42263</v>
      </c>
      <c r="H81" s="380">
        <v>80</v>
      </c>
      <c r="I81" s="377">
        <v>52.55</v>
      </c>
      <c r="J81" s="377">
        <v>0.08</v>
      </c>
      <c r="K81" s="396">
        <f t="shared" si="7"/>
        <v>4203.92</v>
      </c>
      <c r="L81" s="376"/>
      <c r="M81" s="377"/>
    </row>
    <row r="82" spans="1:13" x14ac:dyDescent="0.25">
      <c r="A82" s="376"/>
      <c r="B82" s="394">
        <v>42207</v>
      </c>
      <c r="C82" s="376">
        <v>20</v>
      </c>
      <c r="D82" s="381">
        <v>59.85</v>
      </c>
      <c r="E82" s="377">
        <v>0</v>
      </c>
      <c r="F82" s="377">
        <f t="shared" si="6"/>
        <v>1197</v>
      </c>
      <c r="G82" s="375">
        <v>42284</v>
      </c>
      <c r="H82" s="380">
        <v>50</v>
      </c>
      <c r="I82" s="377">
        <v>52.85</v>
      </c>
      <c r="J82" s="377">
        <v>0.05</v>
      </c>
      <c r="K82" s="396">
        <f t="shared" si="7"/>
        <v>2642.45</v>
      </c>
      <c r="L82" s="376"/>
      <c r="M82" s="377"/>
    </row>
    <row r="83" spans="1:13" x14ac:dyDescent="0.25">
      <c r="A83" s="376"/>
      <c r="B83" s="394">
        <v>42208</v>
      </c>
      <c r="C83" s="376">
        <v>5</v>
      </c>
      <c r="D83" s="381">
        <v>61.3</v>
      </c>
      <c r="E83" s="377">
        <v>0</v>
      </c>
      <c r="F83" s="377">
        <f t="shared" si="6"/>
        <v>306.5</v>
      </c>
      <c r="G83" s="375">
        <v>42284</v>
      </c>
      <c r="H83" s="380">
        <v>30</v>
      </c>
      <c r="I83" s="377">
        <v>53.05</v>
      </c>
      <c r="J83" s="377">
        <v>0.03</v>
      </c>
      <c r="K83" s="396">
        <f t="shared" si="7"/>
        <v>1591.47</v>
      </c>
      <c r="L83" s="376"/>
      <c r="M83" s="377"/>
    </row>
    <row r="84" spans="1:13" x14ac:dyDescent="0.25">
      <c r="A84" s="376"/>
      <c r="B84" s="394">
        <v>42219</v>
      </c>
      <c r="C84" s="397">
        <v>25</v>
      </c>
      <c r="D84" s="381">
        <v>59.4</v>
      </c>
      <c r="E84" s="377">
        <v>0</v>
      </c>
      <c r="F84" s="377">
        <f t="shared" si="6"/>
        <v>1485</v>
      </c>
      <c r="G84" s="375">
        <v>42291</v>
      </c>
      <c r="H84" s="380">
        <v>80</v>
      </c>
      <c r="I84" s="377">
        <v>61.6</v>
      </c>
      <c r="J84" s="377">
        <v>0.09</v>
      </c>
      <c r="K84" s="396">
        <f t="shared" si="7"/>
        <v>4927.91</v>
      </c>
      <c r="L84" s="376"/>
      <c r="M84" s="377"/>
    </row>
    <row r="85" spans="1:13" x14ac:dyDescent="0.25">
      <c r="A85" s="376"/>
      <c r="B85" s="394">
        <v>42219</v>
      </c>
      <c r="C85" s="397">
        <v>50</v>
      </c>
      <c r="D85" s="381">
        <v>59.2</v>
      </c>
      <c r="E85" s="377">
        <v>0</v>
      </c>
      <c r="F85" s="377">
        <f t="shared" si="6"/>
        <v>2960</v>
      </c>
      <c r="G85" s="375">
        <v>42297</v>
      </c>
      <c r="H85" s="380">
        <v>115</v>
      </c>
      <c r="I85" s="377">
        <v>61.23</v>
      </c>
      <c r="J85" s="377">
        <v>0.13</v>
      </c>
      <c r="K85" s="396">
        <f t="shared" si="7"/>
        <v>7041.32</v>
      </c>
      <c r="L85" s="376"/>
      <c r="M85" s="377"/>
    </row>
    <row r="86" spans="1:13" x14ac:dyDescent="0.25">
      <c r="A86" s="376"/>
      <c r="B86" s="394">
        <v>42226</v>
      </c>
      <c r="C86" s="397">
        <v>5</v>
      </c>
      <c r="D86" s="381">
        <v>56.2</v>
      </c>
      <c r="E86" s="377">
        <v>0</v>
      </c>
      <c r="F86" s="377">
        <f t="shared" si="6"/>
        <v>281</v>
      </c>
      <c r="G86" s="375">
        <v>42304</v>
      </c>
      <c r="H86" s="380">
        <v>80</v>
      </c>
      <c r="I86" s="377">
        <v>59.76</v>
      </c>
      <c r="J86" s="377">
        <v>0.09</v>
      </c>
      <c r="K86" s="396">
        <f t="shared" si="7"/>
        <v>4780.71</v>
      </c>
      <c r="L86" s="376"/>
      <c r="M86" s="377"/>
    </row>
    <row r="87" spans="1:13" x14ac:dyDescent="0.25">
      <c r="A87" s="376"/>
      <c r="B87" s="394">
        <v>42226</v>
      </c>
      <c r="C87" s="376">
        <v>15</v>
      </c>
      <c r="D87" s="381">
        <v>56.5</v>
      </c>
      <c r="E87" s="377">
        <v>0</v>
      </c>
      <c r="F87" s="377">
        <f t="shared" si="6"/>
        <v>847.5</v>
      </c>
      <c r="G87" s="375">
        <v>42314</v>
      </c>
      <c r="H87" s="380">
        <v>10</v>
      </c>
      <c r="I87" s="377">
        <v>59.65</v>
      </c>
      <c r="J87" s="377">
        <v>0.01</v>
      </c>
      <c r="K87" s="396">
        <f t="shared" si="7"/>
        <v>596.49</v>
      </c>
      <c r="L87" s="376"/>
      <c r="M87" s="377"/>
    </row>
    <row r="88" spans="1:13" x14ac:dyDescent="0.25">
      <c r="A88" s="376"/>
      <c r="B88" s="394">
        <v>42240</v>
      </c>
      <c r="C88" s="397">
        <v>15</v>
      </c>
      <c r="D88" s="381">
        <v>57.19</v>
      </c>
      <c r="E88" s="377">
        <v>0</v>
      </c>
      <c r="F88" s="377">
        <f t="shared" si="6"/>
        <v>857.84999999999991</v>
      </c>
      <c r="G88" s="375">
        <v>42338</v>
      </c>
      <c r="H88" s="380">
        <v>75</v>
      </c>
      <c r="I88" s="377">
        <v>61.49</v>
      </c>
      <c r="J88" s="377">
        <v>0.08</v>
      </c>
      <c r="K88" s="377">
        <f t="shared" si="7"/>
        <v>4611.67</v>
      </c>
      <c r="L88" s="376"/>
      <c r="M88" s="377"/>
    </row>
    <row r="89" spans="1:13" x14ac:dyDescent="0.25">
      <c r="A89" s="376"/>
      <c r="B89" s="394">
        <v>42240</v>
      </c>
      <c r="C89" s="376">
        <v>20</v>
      </c>
      <c r="D89" s="381">
        <v>56.6</v>
      </c>
      <c r="E89" s="377">
        <v>0</v>
      </c>
      <c r="F89" s="377">
        <f t="shared" si="6"/>
        <v>1132</v>
      </c>
      <c r="G89" s="375">
        <v>42354</v>
      </c>
      <c r="H89" s="380">
        <v>100</v>
      </c>
      <c r="I89" s="377">
        <v>50.1</v>
      </c>
      <c r="J89" s="377">
        <v>0.09</v>
      </c>
      <c r="K89" s="377">
        <f t="shared" si="7"/>
        <v>5009.91</v>
      </c>
      <c r="L89" s="376"/>
      <c r="M89" s="377"/>
    </row>
    <row r="90" spans="1:13" x14ac:dyDescent="0.25">
      <c r="A90" s="376"/>
      <c r="B90" s="394">
        <v>42240</v>
      </c>
      <c r="C90" s="376">
        <v>30</v>
      </c>
      <c r="D90" s="381">
        <v>56.5</v>
      </c>
      <c r="E90" s="377">
        <v>0</v>
      </c>
      <c r="F90" s="377">
        <f t="shared" si="6"/>
        <v>1695</v>
      </c>
      <c r="G90" s="375">
        <v>42354</v>
      </c>
      <c r="H90" s="380">
        <v>200</v>
      </c>
      <c r="I90" s="377">
        <v>50.15</v>
      </c>
      <c r="J90" s="377">
        <v>0.18</v>
      </c>
      <c r="K90" s="377">
        <f t="shared" si="7"/>
        <v>10029.82</v>
      </c>
      <c r="L90" s="376"/>
      <c r="M90" s="377"/>
    </row>
    <row r="91" spans="1:13" ht="15" customHeight="1" x14ac:dyDescent="0.25">
      <c r="A91" s="376"/>
      <c r="B91" s="401">
        <v>42258</v>
      </c>
      <c r="C91" s="376">
        <v>80</v>
      </c>
      <c r="D91" s="381">
        <v>55.45</v>
      </c>
      <c r="E91" s="377">
        <v>0</v>
      </c>
      <c r="F91" s="377">
        <f t="shared" si="6"/>
        <v>4436</v>
      </c>
      <c r="G91" s="375">
        <v>42354</v>
      </c>
      <c r="H91" s="380">
        <v>100</v>
      </c>
      <c r="I91" s="377">
        <v>50.15</v>
      </c>
      <c r="J91" s="377">
        <v>0.09</v>
      </c>
      <c r="K91" s="377">
        <f t="shared" si="7"/>
        <v>5014.91</v>
      </c>
      <c r="L91" s="376"/>
      <c r="M91" s="377"/>
    </row>
    <row r="92" spans="1:13" x14ac:dyDescent="0.25">
      <c r="A92" s="376"/>
      <c r="B92" s="401"/>
      <c r="C92" s="376">
        <v>20</v>
      </c>
      <c r="D92" s="381">
        <v>55.45</v>
      </c>
      <c r="E92" s="377">
        <v>0</v>
      </c>
      <c r="F92" s="377">
        <f t="shared" si="6"/>
        <v>1109</v>
      </c>
      <c r="G92" s="375">
        <v>42367</v>
      </c>
      <c r="H92" s="380">
        <v>400</v>
      </c>
      <c r="I92" s="377">
        <v>49.86</v>
      </c>
      <c r="J92" s="377">
        <v>0.37</v>
      </c>
      <c r="K92" s="377">
        <f t="shared" si="7"/>
        <v>19943.63</v>
      </c>
      <c r="L92" s="376"/>
      <c r="M92" s="377"/>
    </row>
    <row r="93" spans="1:13" x14ac:dyDescent="0.25">
      <c r="A93" s="376"/>
      <c r="B93" s="402">
        <v>42263</v>
      </c>
      <c r="C93" s="376">
        <v>50</v>
      </c>
      <c r="D93" s="381">
        <v>52.7</v>
      </c>
      <c r="E93" s="377">
        <v>0</v>
      </c>
      <c r="F93" s="377">
        <f t="shared" si="6"/>
        <v>2635</v>
      </c>
      <c r="G93" s="375">
        <v>42375</v>
      </c>
      <c r="H93" s="380">
        <v>100</v>
      </c>
      <c r="I93" s="377">
        <v>47.56</v>
      </c>
      <c r="J93" s="377">
        <v>0.09</v>
      </c>
      <c r="K93" s="377">
        <f t="shared" si="7"/>
        <v>4755.91</v>
      </c>
      <c r="L93" s="376"/>
      <c r="M93" s="376"/>
    </row>
    <row r="94" spans="1:13" x14ac:dyDescent="0.25">
      <c r="A94" s="376"/>
      <c r="B94" s="402"/>
      <c r="C94" s="376">
        <v>30</v>
      </c>
      <c r="D94" s="381">
        <v>52.7</v>
      </c>
      <c r="E94" s="377">
        <v>0</v>
      </c>
      <c r="F94" s="377">
        <f t="shared" si="6"/>
        <v>1581</v>
      </c>
      <c r="G94" s="375">
        <v>42398</v>
      </c>
      <c r="H94" s="380">
        <v>150</v>
      </c>
      <c r="I94" s="377">
        <v>40.880000000000003</v>
      </c>
      <c r="J94" s="377">
        <v>0.11</v>
      </c>
      <c r="K94" s="377">
        <f t="shared" si="7"/>
        <v>6131.89</v>
      </c>
      <c r="L94" s="376"/>
      <c r="M94" s="376"/>
    </row>
    <row r="95" spans="1:13" x14ac:dyDescent="0.25">
      <c r="A95" s="376"/>
      <c r="B95" s="394">
        <v>42263</v>
      </c>
      <c r="C95" s="376">
        <v>50</v>
      </c>
      <c r="D95" s="381">
        <v>52.05</v>
      </c>
      <c r="E95" s="377">
        <v>0</v>
      </c>
      <c r="F95" s="377">
        <f t="shared" si="6"/>
        <v>2602.5</v>
      </c>
      <c r="G95" s="375">
        <v>42405</v>
      </c>
      <c r="H95" s="380">
        <v>100</v>
      </c>
      <c r="I95" s="377">
        <v>38.445</v>
      </c>
      <c r="J95" s="377">
        <v>7.0000000000000007E-2</v>
      </c>
      <c r="K95" s="377">
        <f t="shared" si="7"/>
        <v>3844.43</v>
      </c>
      <c r="L95" s="376"/>
      <c r="M95" s="376"/>
    </row>
    <row r="96" spans="1:13" x14ac:dyDescent="0.25">
      <c r="A96" s="376"/>
      <c r="B96" s="402">
        <v>42270</v>
      </c>
      <c r="C96" s="376">
        <v>30</v>
      </c>
      <c r="D96" s="381">
        <v>52.5</v>
      </c>
      <c r="E96" s="377">
        <v>0</v>
      </c>
      <c r="F96" s="377">
        <f t="shared" si="6"/>
        <v>1575</v>
      </c>
      <c r="G96" s="375">
        <v>42426</v>
      </c>
      <c r="H96" s="380">
        <v>150</v>
      </c>
      <c r="I96" s="377">
        <v>43.25</v>
      </c>
      <c r="J96" s="377">
        <v>0.14000000000000001</v>
      </c>
      <c r="K96" s="377">
        <f t="shared" si="7"/>
        <v>6487.36</v>
      </c>
      <c r="L96" s="376"/>
      <c r="M96" s="376"/>
    </row>
    <row r="97" spans="1:13" x14ac:dyDescent="0.25">
      <c r="A97" s="376"/>
      <c r="B97" s="402"/>
      <c r="C97" s="376">
        <v>20</v>
      </c>
      <c r="D97" s="381">
        <v>52.5</v>
      </c>
      <c r="E97" s="377">
        <v>0</v>
      </c>
      <c r="F97" s="377">
        <f t="shared" si="6"/>
        <v>1050</v>
      </c>
      <c r="G97" s="375">
        <v>42426</v>
      </c>
      <c r="H97" s="380">
        <v>150</v>
      </c>
      <c r="I97" s="377">
        <v>43.4</v>
      </c>
      <c r="J97" s="377">
        <v>0.14000000000000001</v>
      </c>
      <c r="K97" s="377">
        <f t="shared" si="7"/>
        <v>6509.86</v>
      </c>
      <c r="L97" s="376"/>
      <c r="M97" s="376"/>
    </row>
    <row r="98" spans="1:13" x14ac:dyDescent="0.25">
      <c r="A98" s="376"/>
      <c r="B98" s="394">
        <v>42292</v>
      </c>
      <c r="C98" s="376">
        <v>80</v>
      </c>
      <c r="D98" s="381">
        <v>61.25</v>
      </c>
      <c r="E98" s="377">
        <v>0</v>
      </c>
      <c r="F98" s="377">
        <f t="shared" si="6"/>
        <v>4900</v>
      </c>
      <c r="G98" s="375">
        <v>42431</v>
      </c>
      <c r="H98" s="380">
        <v>150</v>
      </c>
      <c r="I98" s="377">
        <v>45.95</v>
      </c>
      <c r="J98" s="377">
        <v>0.15</v>
      </c>
      <c r="K98" s="377">
        <f t="shared" si="7"/>
        <v>6892.35</v>
      </c>
      <c r="L98" s="376"/>
      <c r="M98" s="376"/>
    </row>
    <row r="99" spans="1:13" x14ac:dyDescent="0.25">
      <c r="A99" s="376"/>
      <c r="B99" s="394">
        <v>42292</v>
      </c>
      <c r="C99" s="376">
        <v>80</v>
      </c>
      <c r="D99" s="381">
        <v>59.75</v>
      </c>
      <c r="E99" s="377">
        <v>0</v>
      </c>
      <c r="F99" s="377">
        <f t="shared" si="6"/>
        <v>4780</v>
      </c>
      <c r="G99" s="375">
        <v>42431</v>
      </c>
      <c r="H99" s="380">
        <v>150</v>
      </c>
      <c r="I99" s="377">
        <v>45.5</v>
      </c>
      <c r="J99" s="377">
        <v>0.15</v>
      </c>
      <c r="K99" s="377">
        <f t="shared" si="7"/>
        <v>6824.85</v>
      </c>
      <c r="L99" s="376"/>
      <c r="M99" s="376"/>
    </row>
    <row r="100" spans="1:13" x14ac:dyDescent="0.25">
      <c r="A100" s="376"/>
      <c r="B100" s="394">
        <v>42310</v>
      </c>
      <c r="C100" s="376">
        <v>80</v>
      </c>
      <c r="D100" s="381">
        <v>55.225000000000001</v>
      </c>
      <c r="E100" s="377">
        <v>6.95</v>
      </c>
      <c r="F100" s="377">
        <f t="shared" si="6"/>
        <v>4424.95</v>
      </c>
      <c r="G100" s="375">
        <v>42431</v>
      </c>
      <c r="H100" s="380">
        <v>150</v>
      </c>
      <c r="I100" s="377">
        <v>46.4</v>
      </c>
      <c r="J100" s="377">
        <v>0.15</v>
      </c>
      <c r="K100" s="377">
        <f t="shared" si="7"/>
        <v>6959.85</v>
      </c>
      <c r="L100" s="376"/>
      <c r="M100" s="376"/>
    </row>
    <row r="101" spans="1:13" x14ac:dyDescent="0.25">
      <c r="A101" s="376"/>
      <c r="B101" s="394">
        <v>42310</v>
      </c>
      <c r="C101" s="376">
        <v>40</v>
      </c>
      <c r="D101" s="381">
        <v>53.01</v>
      </c>
      <c r="E101" s="377">
        <v>6.95</v>
      </c>
      <c r="F101" s="377">
        <f t="shared" si="6"/>
        <v>2127.35</v>
      </c>
      <c r="G101" s="375">
        <v>42431</v>
      </c>
      <c r="H101" s="380">
        <v>150</v>
      </c>
      <c r="I101" s="377">
        <v>46.72</v>
      </c>
      <c r="J101" s="377">
        <v>0.15</v>
      </c>
      <c r="K101" s="377">
        <f t="shared" si="7"/>
        <v>7007.85</v>
      </c>
      <c r="L101" s="376"/>
      <c r="M101" s="376"/>
    </row>
    <row r="102" spans="1:13" x14ac:dyDescent="0.25">
      <c r="A102" s="376"/>
      <c r="B102" s="394">
        <v>42340</v>
      </c>
      <c r="C102" s="376">
        <v>40</v>
      </c>
      <c r="D102" s="381">
        <v>58.6</v>
      </c>
      <c r="E102" s="377">
        <v>0</v>
      </c>
      <c r="F102" s="377">
        <f t="shared" si="6"/>
        <v>2344</v>
      </c>
      <c r="G102" s="375">
        <v>42433</v>
      </c>
      <c r="H102" s="380">
        <v>50</v>
      </c>
      <c r="I102" s="377">
        <v>50.35</v>
      </c>
      <c r="J102" s="377">
        <v>0.05</v>
      </c>
      <c r="K102" s="377">
        <f t="shared" si="7"/>
        <v>2517.4499999999998</v>
      </c>
      <c r="L102" s="376"/>
      <c r="M102" s="376"/>
    </row>
    <row r="103" spans="1:13" ht="45" x14ac:dyDescent="0.25">
      <c r="A103" s="376"/>
      <c r="B103" s="403" t="s">
        <v>169</v>
      </c>
      <c r="C103" s="376">
        <v>45</v>
      </c>
      <c r="D103" s="381">
        <v>50.45</v>
      </c>
      <c r="E103" s="377">
        <v>0</v>
      </c>
      <c r="F103" s="377">
        <f t="shared" si="6"/>
        <v>2270.25</v>
      </c>
      <c r="G103" s="375">
        <v>42440</v>
      </c>
      <c r="H103" s="380">
        <v>250</v>
      </c>
      <c r="I103" s="377">
        <v>50.24</v>
      </c>
      <c r="J103" s="377">
        <v>0.27</v>
      </c>
      <c r="K103" s="377">
        <f t="shared" si="7"/>
        <v>12559.73</v>
      </c>
      <c r="L103" s="376"/>
      <c r="M103" s="376"/>
    </row>
    <row r="104" spans="1:13" x14ac:dyDescent="0.25">
      <c r="A104" s="376"/>
      <c r="B104" s="403"/>
      <c r="C104" s="376">
        <v>75</v>
      </c>
      <c r="D104" s="381">
        <v>50.42</v>
      </c>
      <c r="E104" s="377">
        <v>0</v>
      </c>
      <c r="F104" s="377">
        <f t="shared" si="6"/>
        <v>3781.5</v>
      </c>
      <c r="G104" s="375">
        <v>42440</v>
      </c>
      <c r="H104" s="380">
        <v>50</v>
      </c>
      <c r="I104" s="377">
        <v>50.73</v>
      </c>
      <c r="J104" s="377">
        <v>0.05</v>
      </c>
      <c r="K104" s="377">
        <f t="shared" si="7"/>
        <v>2536.4499999999998</v>
      </c>
      <c r="L104" s="376"/>
      <c r="M104" s="376"/>
    </row>
    <row r="105" spans="1:13" x14ac:dyDescent="0.25">
      <c r="A105" s="376"/>
      <c r="B105" s="403"/>
      <c r="C105" s="376">
        <v>100</v>
      </c>
      <c r="D105" s="381">
        <v>50.33</v>
      </c>
      <c r="E105" s="377">
        <v>0</v>
      </c>
      <c r="F105" s="377">
        <f t="shared" si="6"/>
        <v>5033</v>
      </c>
      <c r="G105" s="375">
        <v>42440</v>
      </c>
      <c r="H105" s="380">
        <v>50</v>
      </c>
      <c r="I105" s="377">
        <v>51.08</v>
      </c>
      <c r="J105" s="377">
        <v>0.06</v>
      </c>
      <c r="K105" s="377">
        <f t="shared" si="7"/>
        <v>2553.94</v>
      </c>
      <c r="L105" s="376"/>
      <c r="M105" s="376"/>
    </row>
    <row r="106" spans="1:13" x14ac:dyDescent="0.25">
      <c r="A106" s="376"/>
      <c r="B106" s="403"/>
      <c r="C106" s="376">
        <v>100</v>
      </c>
      <c r="D106" s="381">
        <v>50.25</v>
      </c>
      <c r="E106" s="377">
        <v>0</v>
      </c>
      <c r="F106" s="377">
        <f t="shared" si="6"/>
        <v>5025</v>
      </c>
      <c r="G106" s="375">
        <v>42445</v>
      </c>
      <c r="H106" s="380">
        <v>20</v>
      </c>
      <c r="I106" s="377">
        <v>51.59</v>
      </c>
      <c r="J106" s="377">
        <v>0.02</v>
      </c>
      <c r="K106" s="377">
        <f t="shared" si="7"/>
        <v>1031.7800000000002</v>
      </c>
      <c r="L106" s="376"/>
      <c r="M106" s="376"/>
    </row>
    <row r="107" spans="1:13" x14ac:dyDescent="0.25">
      <c r="A107" s="376"/>
      <c r="B107" s="403"/>
      <c r="C107" s="376">
        <v>100</v>
      </c>
      <c r="D107" s="381">
        <v>50.05</v>
      </c>
      <c r="E107" s="377">
        <v>0</v>
      </c>
      <c r="F107" s="377">
        <f t="shared" si="6"/>
        <v>5005</v>
      </c>
      <c r="G107" s="375">
        <v>42446</v>
      </c>
      <c r="H107" s="380">
        <v>80</v>
      </c>
      <c r="I107" s="377">
        <v>53.45</v>
      </c>
      <c r="J107" s="377">
        <v>0.09</v>
      </c>
      <c r="K107" s="377">
        <f t="shared" si="7"/>
        <v>4275.91</v>
      </c>
      <c r="L107" s="376"/>
      <c r="M107" s="376"/>
    </row>
    <row r="108" spans="1:13" x14ac:dyDescent="0.25">
      <c r="A108" s="376"/>
      <c r="B108" s="403"/>
      <c r="C108" s="376">
        <v>100</v>
      </c>
      <c r="D108" s="381">
        <v>49.99</v>
      </c>
      <c r="E108" s="377">
        <v>0</v>
      </c>
      <c r="F108" s="377">
        <f t="shared" si="6"/>
        <v>4999</v>
      </c>
      <c r="G108" s="375">
        <v>42460</v>
      </c>
      <c r="H108" s="380">
        <v>50</v>
      </c>
      <c r="I108" s="377">
        <v>52.74</v>
      </c>
      <c r="J108" s="377">
        <v>0.06</v>
      </c>
      <c r="K108" s="377">
        <f t="shared" si="7"/>
        <v>2636.94</v>
      </c>
      <c r="L108" s="376"/>
      <c r="M108" s="376"/>
    </row>
    <row r="109" spans="1:13" x14ac:dyDescent="0.25">
      <c r="A109" s="376"/>
      <c r="B109" s="403"/>
      <c r="C109" s="376">
        <v>200</v>
      </c>
      <c r="D109" s="381">
        <v>49.69</v>
      </c>
      <c r="E109" s="377">
        <v>0</v>
      </c>
      <c r="F109" s="377">
        <f t="shared" si="6"/>
        <v>9938</v>
      </c>
      <c r="G109" s="375">
        <v>42466</v>
      </c>
      <c r="H109" s="380">
        <v>50</v>
      </c>
      <c r="I109" s="377">
        <v>53.25</v>
      </c>
      <c r="J109" s="377">
        <v>0.06</v>
      </c>
      <c r="K109" s="377">
        <f t="shared" si="7"/>
        <v>2662.44</v>
      </c>
      <c r="L109" s="376"/>
      <c r="M109" s="376"/>
    </row>
    <row r="110" spans="1:13" x14ac:dyDescent="0.25">
      <c r="A110" s="376"/>
      <c r="B110" s="394">
        <v>42362</v>
      </c>
      <c r="C110" s="376">
        <v>300</v>
      </c>
      <c r="D110" s="381">
        <v>48.18</v>
      </c>
      <c r="E110" s="377">
        <v>0</v>
      </c>
      <c r="F110" s="377">
        <f t="shared" si="6"/>
        <v>14454</v>
      </c>
      <c r="G110" s="375">
        <v>42472</v>
      </c>
      <c r="H110" s="380">
        <v>20</v>
      </c>
      <c r="I110" s="377">
        <v>57.11</v>
      </c>
      <c r="J110" s="377">
        <v>-0.03</v>
      </c>
      <c r="K110" s="377">
        <f t="shared" si="7"/>
        <v>1142.23</v>
      </c>
      <c r="L110" s="376"/>
      <c r="M110" s="376"/>
    </row>
    <row r="111" spans="1:13" x14ac:dyDescent="0.25">
      <c r="A111" s="376"/>
      <c r="B111" s="394">
        <v>42362</v>
      </c>
      <c r="C111" s="376">
        <v>300</v>
      </c>
      <c r="D111" s="381">
        <v>47.73</v>
      </c>
      <c r="E111" s="377">
        <v>-0.03</v>
      </c>
      <c r="F111" s="377">
        <f t="shared" si="6"/>
        <v>14318.969999999998</v>
      </c>
      <c r="G111" s="375">
        <v>42478</v>
      </c>
      <c r="H111" s="380">
        <v>20</v>
      </c>
      <c r="I111" s="377">
        <v>58.75</v>
      </c>
      <c r="J111" s="377">
        <v>0.03</v>
      </c>
      <c r="K111" s="377">
        <f t="shared" si="7"/>
        <v>1174.97</v>
      </c>
      <c r="L111" s="376"/>
      <c r="M111" s="376"/>
    </row>
    <row r="112" spans="1:13" x14ac:dyDescent="0.25">
      <c r="A112" s="376"/>
      <c r="B112" s="394">
        <v>42374</v>
      </c>
      <c r="C112" s="376">
        <v>100</v>
      </c>
      <c r="D112" s="381">
        <v>47.13</v>
      </c>
      <c r="E112" s="377">
        <v>0</v>
      </c>
      <c r="F112" s="377">
        <f t="shared" si="6"/>
        <v>4713</v>
      </c>
      <c r="G112" s="375">
        <v>42501</v>
      </c>
      <c r="H112" s="380">
        <v>30</v>
      </c>
      <c r="I112" s="377">
        <v>58.45</v>
      </c>
      <c r="J112" s="377">
        <v>0.04</v>
      </c>
      <c r="K112" s="377">
        <f t="shared" si="7"/>
        <v>1753.46</v>
      </c>
      <c r="L112" s="376"/>
      <c r="M112" s="376"/>
    </row>
    <row r="113" spans="1:13" x14ac:dyDescent="0.25">
      <c r="A113" s="376"/>
      <c r="B113" s="394">
        <v>42375</v>
      </c>
      <c r="C113" s="376">
        <v>100</v>
      </c>
      <c r="D113" s="381">
        <v>46.02</v>
      </c>
      <c r="E113" s="377">
        <v>0</v>
      </c>
      <c r="F113" s="377">
        <f t="shared" si="6"/>
        <v>4602</v>
      </c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376"/>
      <c r="B114" s="402">
        <v>42375</v>
      </c>
      <c r="C114" s="376">
        <v>30</v>
      </c>
      <c r="D114" s="381">
        <v>45.1</v>
      </c>
      <c r="E114" s="377">
        <v>0</v>
      </c>
      <c r="F114" s="377">
        <f t="shared" si="6"/>
        <v>1353</v>
      </c>
      <c r="G114" s="376"/>
      <c r="H114" s="380"/>
      <c r="I114" s="377"/>
      <c r="J114" s="377"/>
      <c r="K114" s="377"/>
      <c r="L114" s="376"/>
      <c r="M114" s="376"/>
    </row>
    <row r="115" spans="1:13" x14ac:dyDescent="0.25">
      <c r="A115" s="376"/>
      <c r="B115" s="402"/>
      <c r="C115" s="376">
        <v>20</v>
      </c>
      <c r="D115" s="381">
        <v>45.1</v>
      </c>
      <c r="E115" s="377">
        <v>0</v>
      </c>
      <c r="F115" s="377">
        <f t="shared" si="6"/>
        <v>902</v>
      </c>
      <c r="G115" s="376"/>
      <c r="H115" s="380"/>
      <c r="I115" s="377"/>
      <c r="J115" s="377"/>
      <c r="K115" s="377"/>
      <c r="L115" s="376"/>
      <c r="M115" s="376"/>
    </row>
    <row r="116" spans="1:13" x14ac:dyDescent="0.25">
      <c r="A116" s="376"/>
      <c r="B116" s="394">
        <v>42402</v>
      </c>
      <c r="C116" s="376">
        <v>150</v>
      </c>
      <c r="D116" s="381">
        <v>39.450000000000003</v>
      </c>
      <c r="E116" s="377">
        <v>0</v>
      </c>
      <c r="F116" s="377">
        <f t="shared" si="6"/>
        <v>5917.5</v>
      </c>
      <c r="G116" s="376"/>
      <c r="H116" s="380"/>
      <c r="I116" s="377"/>
      <c r="J116" s="377"/>
      <c r="K116" s="377"/>
      <c r="L116" s="376"/>
      <c r="M116" s="376"/>
    </row>
    <row r="117" spans="1:13" x14ac:dyDescent="0.25">
      <c r="A117" s="376"/>
      <c r="B117" s="394">
        <v>42405</v>
      </c>
      <c r="C117" s="376">
        <v>100</v>
      </c>
      <c r="D117" s="381">
        <v>38.385100000000001</v>
      </c>
      <c r="E117" s="377">
        <v>0</v>
      </c>
      <c r="F117" s="377">
        <f t="shared" si="6"/>
        <v>3838.51</v>
      </c>
      <c r="G117" s="376"/>
      <c r="H117" s="380"/>
      <c r="I117" s="377"/>
      <c r="J117" s="377"/>
      <c r="K117" s="377"/>
      <c r="L117" s="376"/>
      <c r="M117" s="376"/>
    </row>
    <row r="118" spans="1:13" x14ac:dyDescent="0.25">
      <c r="A118" s="376"/>
      <c r="B118" s="394">
        <v>42426</v>
      </c>
      <c r="C118" s="376">
        <v>150</v>
      </c>
      <c r="D118" s="381">
        <v>43.09</v>
      </c>
      <c r="E118" s="377">
        <v>0</v>
      </c>
      <c r="F118" s="377">
        <f t="shared" si="6"/>
        <v>6463.5000000000009</v>
      </c>
      <c r="G118" s="376"/>
      <c r="H118" s="380"/>
      <c r="I118" s="377"/>
      <c r="J118" s="377"/>
      <c r="K118" s="377"/>
      <c r="L118" s="376"/>
      <c r="M118" s="376"/>
    </row>
    <row r="119" spans="1:13" x14ac:dyDescent="0.25">
      <c r="A119" s="376"/>
      <c r="B119" s="394">
        <v>42426</v>
      </c>
      <c r="C119" s="376">
        <v>150</v>
      </c>
      <c r="D119" s="381">
        <v>42.89</v>
      </c>
      <c r="E119" s="377">
        <v>0</v>
      </c>
      <c r="F119" s="377">
        <f t="shared" si="6"/>
        <v>6433.5</v>
      </c>
      <c r="G119" s="376"/>
      <c r="H119" s="380"/>
      <c r="I119" s="377"/>
      <c r="J119" s="377"/>
      <c r="K119" s="377"/>
      <c r="L119" s="376"/>
      <c r="M119" s="376"/>
    </row>
    <row r="120" spans="1:13" x14ac:dyDescent="0.25">
      <c r="A120" s="376"/>
      <c r="B120" s="394">
        <v>42431</v>
      </c>
      <c r="C120" s="376">
        <v>150</v>
      </c>
      <c r="D120" s="381">
        <v>45.49</v>
      </c>
      <c r="E120" s="377">
        <v>0</v>
      </c>
      <c r="F120" s="377">
        <f t="shared" si="6"/>
        <v>6823.5</v>
      </c>
      <c r="G120" s="376"/>
      <c r="H120" s="380"/>
      <c r="I120" s="377"/>
      <c r="J120" s="377"/>
      <c r="K120" s="377"/>
      <c r="L120" s="376"/>
      <c r="M120" s="376"/>
    </row>
    <row r="121" spans="1:13" x14ac:dyDescent="0.25">
      <c r="A121" s="376"/>
      <c r="B121" s="394">
        <v>42431</v>
      </c>
      <c r="C121" s="376">
        <v>150</v>
      </c>
      <c r="D121" s="381">
        <v>45.07</v>
      </c>
      <c r="E121" s="377">
        <v>0</v>
      </c>
      <c r="F121" s="377">
        <f t="shared" si="6"/>
        <v>6760.5</v>
      </c>
      <c r="G121" s="376"/>
      <c r="H121" s="380"/>
      <c r="I121" s="377"/>
      <c r="J121" s="377"/>
      <c r="K121" s="377"/>
      <c r="L121" s="376"/>
      <c r="M121" s="376"/>
    </row>
    <row r="122" spans="1:13" x14ac:dyDescent="0.25">
      <c r="A122" s="376"/>
      <c r="B122" s="394">
        <v>42433</v>
      </c>
      <c r="C122" s="376">
        <v>50</v>
      </c>
      <c r="D122" s="381">
        <v>49.45</v>
      </c>
      <c r="E122" s="377">
        <v>0</v>
      </c>
      <c r="F122" s="377">
        <f t="shared" si="6"/>
        <v>2472.5</v>
      </c>
      <c r="G122" s="376"/>
      <c r="H122" s="380"/>
      <c r="I122" s="377"/>
      <c r="J122" s="377"/>
      <c r="K122" s="377"/>
      <c r="L122" s="376"/>
      <c r="M122" s="376"/>
    </row>
    <row r="123" spans="1:13" x14ac:dyDescent="0.25">
      <c r="A123" s="376"/>
      <c r="B123" s="394">
        <v>42444</v>
      </c>
      <c r="C123" s="376">
        <v>50</v>
      </c>
      <c r="D123" s="381">
        <v>48.21</v>
      </c>
      <c r="E123" s="377">
        <v>0</v>
      </c>
      <c r="F123" s="377">
        <f t="shared" si="6"/>
        <v>2410.5</v>
      </c>
      <c r="G123" s="376"/>
      <c r="H123" s="380"/>
      <c r="I123" s="377"/>
      <c r="J123" s="377"/>
      <c r="K123" s="377"/>
      <c r="L123" s="376"/>
      <c r="M123" s="376"/>
    </row>
    <row r="124" spans="1:13" x14ac:dyDescent="0.25">
      <c r="A124" s="376"/>
      <c r="B124" s="394">
        <v>42452</v>
      </c>
      <c r="C124" s="376">
        <v>50</v>
      </c>
      <c r="D124" s="381">
        <v>51.6</v>
      </c>
      <c r="E124" s="377">
        <v>0</v>
      </c>
      <c r="F124" s="377">
        <f t="shared" si="6"/>
        <v>2580</v>
      </c>
      <c r="G124" s="376"/>
      <c r="H124" s="380"/>
      <c r="I124" s="377"/>
      <c r="J124" s="377"/>
      <c r="K124" s="377"/>
      <c r="L124" s="376"/>
      <c r="M124" s="376"/>
    </row>
    <row r="125" spans="1:13" x14ac:dyDescent="0.25">
      <c r="A125" s="376"/>
      <c r="B125" s="394">
        <v>42464</v>
      </c>
      <c r="C125" s="376">
        <v>50</v>
      </c>
      <c r="D125" s="381">
        <v>50.62</v>
      </c>
      <c r="E125" s="377">
        <v>0</v>
      </c>
      <c r="F125" s="377">
        <f t="shared" si="6"/>
        <v>2531</v>
      </c>
      <c r="G125" s="376"/>
      <c r="H125" s="380"/>
      <c r="I125" s="377"/>
      <c r="J125" s="377"/>
      <c r="K125" s="377"/>
      <c r="L125" s="376"/>
      <c r="M125" s="376"/>
    </row>
    <row r="126" spans="1:13" x14ac:dyDescent="0.25">
      <c r="A126" s="376"/>
      <c r="B126" s="394">
        <v>42493</v>
      </c>
      <c r="C126" s="376">
        <v>20</v>
      </c>
      <c r="D126" s="381">
        <v>56.5</v>
      </c>
      <c r="E126" s="377">
        <v>0</v>
      </c>
      <c r="F126" s="377">
        <f t="shared" si="6"/>
        <v>1130</v>
      </c>
      <c r="G126" s="376"/>
      <c r="H126" s="380"/>
      <c r="I126" s="377"/>
      <c r="J126" s="377"/>
      <c r="K126" s="377"/>
      <c r="L126" s="376"/>
      <c r="M126" s="376"/>
    </row>
    <row r="127" spans="1:13" x14ac:dyDescent="0.25">
      <c r="A127" s="376"/>
      <c r="B127" s="398"/>
      <c r="C127" s="376"/>
      <c r="D127" s="381"/>
      <c r="E127" s="377"/>
      <c r="F127" s="377"/>
      <c r="G127" s="376"/>
      <c r="H127" s="380"/>
      <c r="I127" s="377"/>
      <c r="J127" s="377"/>
      <c r="K127" s="377"/>
      <c r="L127" s="376"/>
      <c r="M127" s="376"/>
    </row>
    <row r="128" spans="1:13" x14ac:dyDescent="0.25">
      <c r="A128" s="22" t="s">
        <v>81</v>
      </c>
      <c r="B128" s="399"/>
      <c r="C128" s="12">
        <f>SUM(C77:C127)</f>
        <v>3500</v>
      </c>
      <c r="D128" s="400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6"/>
      <c r="B129" s="398"/>
      <c r="C129" s="376"/>
      <c r="D129" s="381"/>
      <c r="E129" s="377"/>
      <c r="F129" s="377"/>
      <c r="G129" s="376"/>
      <c r="H129" s="380"/>
      <c r="I129" s="377"/>
      <c r="J129" s="377"/>
      <c r="K129" s="377"/>
      <c r="L129" s="376"/>
      <c r="M129" s="37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04" priority="17">
      <formula>F38&gt;0</formula>
    </cfRule>
    <cfRule type="expression" dxfId="603" priority="18">
      <formula>F38&lt;0</formula>
    </cfRule>
  </conditionalFormatting>
  <conditionalFormatting sqref="H38:H72">
    <cfRule type="expression" dxfId="602" priority="9">
      <formula>H38&gt;0</formula>
    </cfRule>
    <cfRule type="expression" dxfId="601" priority="10">
      <formula>H38&lt;0</formula>
    </cfRule>
  </conditionalFormatting>
  <conditionalFormatting sqref="F21:F37">
    <cfRule type="expression" dxfId="600" priority="7">
      <formula>F21&gt;0</formula>
    </cfRule>
    <cfRule type="expression" dxfId="599" priority="8">
      <formula>F21&lt;0</formula>
    </cfRule>
  </conditionalFormatting>
  <conditionalFormatting sqref="H21:H37">
    <cfRule type="expression" dxfId="598" priority="5">
      <formula>H21&gt;0</formula>
    </cfRule>
    <cfRule type="expression" dxfId="597" priority="6">
      <formula>H21&lt;0</formula>
    </cfRule>
  </conditionalFormatting>
  <conditionalFormatting sqref="Q8">
    <cfRule type="expression" dxfId="596" priority="1">
      <formula>Q8&gt;0</formula>
    </cfRule>
    <cfRule type="expression" dxfId="595" priority="2">
      <formula>Q8&lt;0</formula>
    </cfRule>
  </conditionalFormatting>
  <conditionalFormatting sqref="Q7">
    <cfRule type="expression" dxfId="594" priority="3">
      <formula>Q7&gt;0</formula>
    </cfRule>
    <cfRule type="expression" dxfId="59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1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5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104.85</v>
      </c>
      <c r="W3" s="131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5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104.85</v>
      </c>
      <c r="R4" s="514">
        <v>1.1000000000000001E-3</v>
      </c>
      <c r="W4" s="131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5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1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5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5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1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5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5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5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M34</f>
        <v>128.08999999999833</v>
      </c>
      <c r="W10" s="131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5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5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4"/>
      <c r="W12" s="131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5">
        <f t="shared" si="1"/>
        <v>3.9556198745778204E-3</v>
      </c>
    </row>
    <row r="13" spans="1:31" x14ac:dyDescent="0.25">
      <c r="T13" s="67"/>
      <c r="W13" s="131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5">
        <f t="shared" si="1"/>
        <v>-1.3608679101636767E-2</v>
      </c>
    </row>
    <row r="14" spans="1:31" x14ac:dyDescent="0.25">
      <c r="W14" s="131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5">
        <f t="shared" si="1"/>
        <v>-8.5857156335502616E-3</v>
      </c>
    </row>
    <row r="15" spans="1:31" x14ac:dyDescent="0.25">
      <c r="W15" s="131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5">
        <f t="shared" si="1"/>
        <v>5.1209103840681447E-3</v>
      </c>
    </row>
    <row r="16" spans="1:31" x14ac:dyDescent="0.25">
      <c r="W16" s="131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5">
        <f t="shared" si="1"/>
        <v>-1.2312938056450173E-3</v>
      </c>
    </row>
    <row r="17" spans="1:31" x14ac:dyDescent="0.25">
      <c r="W17" s="131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5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1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5">
        <f t="shared" si="1"/>
        <v>-1.9539689995302978E-2</v>
      </c>
    </row>
    <row r="19" spans="1:31" x14ac:dyDescent="0.25">
      <c r="W19" s="131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5">
        <f t="shared" si="1"/>
        <v>1.599548362815284E-3</v>
      </c>
    </row>
    <row r="20" spans="1:31" x14ac:dyDescent="0.25">
      <c r="W20" s="131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5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5">
        <f t="shared" si="1"/>
        <v>-4.9667322650172041E-3</v>
      </c>
    </row>
    <row r="22" spans="1:31" x14ac:dyDescent="0.25">
      <c r="W22" s="131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5">
        <f t="shared" si="1"/>
        <v>-1.522702104097462E-2</v>
      </c>
    </row>
    <row r="23" spans="1:31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W23" s="131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5">
        <f t="shared" si="1"/>
        <v>-9.7779402357671685E-3</v>
      </c>
    </row>
    <row r="24" spans="1:31" x14ac:dyDescent="0.25">
      <c r="B24" s="19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8"/>
      <c r="I24" s="40"/>
      <c r="W24" s="131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5">
        <f t="shared" si="1"/>
        <v>3.7607778389288082E-3</v>
      </c>
    </row>
    <row r="25" spans="1:31" x14ac:dyDescent="0.25">
      <c r="B25" s="19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8">
        <f>IF(C25=0, 0, (E25-D25)/D25)</f>
        <v>3.3863413421019818E-2</v>
      </c>
      <c r="I25" s="40"/>
      <c r="W25" s="131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5">
        <f t="shared" si="1"/>
        <v>-2.7510316368639653E-4</v>
      </c>
    </row>
    <row r="26" spans="1:31" x14ac:dyDescent="0.25">
      <c r="B26" s="19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8">
        <f>IF(C26=0, 0, (E26-D26)/D26)</f>
        <v>-1.6441232954309919E-3</v>
      </c>
      <c r="I26" s="40"/>
      <c r="W26" s="131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5">
        <f t="shared" si="1"/>
        <v>-9.6267368994641389E-3</v>
      </c>
    </row>
    <row r="27" spans="1:31" x14ac:dyDescent="0.25">
      <c r="B27" s="19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8"/>
      <c r="I27" s="40"/>
      <c r="W27" s="131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5">
        <f t="shared" si="1"/>
        <v>2.0103761348897464E-2</v>
      </c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5">
        <f t="shared" si="1"/>
        <v>4.0930232558138435E-3</v>
      </c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5">
        <f t="shared" si="1"/>
        <v>-2.2275849266752967E-3</v>
      </c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5" t="e">
        <f t="shared" si="1"/>
        <v>#DIV/0!</v>
      </c>
    </row>
    <row r="31" spans="1:31" x14ac:dyDescent="0.25">
      <c r="W31" s="131">
        <v>42790</v>
      </c>
      <c r="X31" s="10" t="s">
        <v>322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W32" s="131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5">
        <f t="shared" si="1"/>
        <v>-1.99538106235565E-2</v>
      </c>
    </row>
    <row r="33" spans="1:31" x14ac:dyDescent="0.25">
      <c r="W33" s="131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5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1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5">
        <f t="shared" si="1"/>
        <v>-1.3736263736264798E-3</v>
      </c>
    </row>
    <row r="35" spans="1:31" x14ac:dyDescent="0.25">
      <c r="A35" s="260" t="s">
        <v>1</v>
      </c>
      <c r="B35" s="260" t="s">
        <v>2</v>
      </c>
      <c r="C35" s="260" t="s">
        <v>4</v>
      </c>
      <c r="D35" s="261" t="s">
        <v>5</v>
      </c>
      <c r="E35" s="261" t="s">
        <v>94</v>
      </c>
      <c r="F35" s="261" t="s">
        <v>60</v>
      </c>
      <c r="G35" s="260" t="s">
        <v>3</v>
      </c>
      <c r="H35" s="260" t="s">
        <v>6</v>
      </c>
      <c r="I35" s="261" t="s">
        <v>7</v>
      </c>
      <c r="J35" s="261" t="s">
        <v>95</v>
      </c>
      <c r="K35" s="261" t="s">
        <v>61</v>
      </c>
      <c r="L35" s="260" t="s">
        <v>37</v>
      </c>
      <c r="M35" s="260" t="s">
        <v>38</v>
      </c>
      <c r="W35" s="131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5">
        <f t="shared" si="1"/>
        <v>3.9532959455732541E-3</v>
      </c>
    </row>
    <row r="36" spans="1:31" x14ac:dyDescent="0.25">
      <c r="A36" s="262" t="s">
        <v>42</v>
      </c>
      <c r="B36" s="263">
        <v>42184</v>
      </c>
      <c r="C36" s="258">
        <v>10</v>
      </c>
      <c r="D36" s="259">
        <v>99.05</v>
      </c>
      <c r="E36" s="259">
        <v>0</v>
      </c>
      <c r="F36" s="259">
        <f>C36*D36</f>
        <v>990.5</v>
      </c>
      <c r="G36" s="263">
        <v>42216</v>
      </c>
      <c r="H36" s="258">
        <v>40</v>
      </c>
      <c r="I36" s="259">
        <v>95.1</v>
      </c>
      <c r="J36" s="259">
        <v>7.0000000000000007E-2</v>
      </c>
      <c r="K36" s="259">
        <f>H36*I36-J36</f>
        <v>3803.93</v>
      </c>
      <c r="L36" s="263">
        <v>42277</v>
      </c>
      <c r="M36" s="259">
        <v>33</v>
      </c>
      <c r="W36" s="131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5">
        <f t="shared" si="1"/>
        <v>-3.5727372663979517E-3</v>
      </c>
    </row>
    <row r="37" spans="1:31" x14ac:dyDescent="0.25">
      <c r="A37" s="265" t="s">
        <v>71</v>
      </c>
      <c r="B37" s="263">
        <v>42184</v>
      </c>
      <c r="C37" s="258">
        <v>20</v>
      </c>
      <c r="D37" s="259">
        <v>99.5</v>
      </c>
      <c r="E37" s="259">
        <v>0</v>
      </c>
      <c r="F37" s="259">
        <f t="shared" ref="F37:F43" si="2">C37*D37</f>
        <v>1990</v>
      </c>
      <c r="G37" s="263">
        <v>42216</v>
      </c>
      <c r="H37" s="258">
        <v>20</v>
      </c>
      <c r="I37" s="259">
        <v>95.6</v>
      </c>
      <c r="J37" s="259">
        <v>0.04</v>
      </c>
      <c r="K37" s="259">
        <f>H37*I37-J37</f>
        <v>1911.96</v>
      </c>
      <c r="L37" s="258"/>
      <c r="M37" s="258"/>
      <c r="W37" s="131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5">
        <f t="shared" si="1"/>
        <v>5.7121798415329383E-3</v>
      </c>
    </row>
    <row r="38" spans="1:31" x14ac:dyDescent="0.25">
      <c r="A38" s="258"/>
      <c r="B38" s="263">
        <v>42184</v>
      </c>
      <c r="C38" s="258">
        <v>10</v>
      </c>
      <c r="D38" s="259">
        <v>98.35</v>
      </c>
      <c r="E38" s="259">
        <v>0</v>
      </c>
      <c r="F38" s="259">
        <f t="shared" si="2"/>
        <v>983.5</v>
      </c>
      <c r="G38" s="263">
        <v>42304</v>
      </c>
      <c r="H38" s="258">
        <v>60</v>
      </c>
      <c r="I38" s="259">
        <v>97.2</v>
      </c>
      <c r="J38" s="259">
        <v>0.11</v>
      </c>
      <c r="K38" s="259">
        <f>H38*I38-J38</f>
        <v>5831.89</v>
      </c>
      <c r="L38" s="258"/>
      <c r="M38" s="258"/>
      <c r="W38" s="131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5">
        <f t="shared" si="1"/>
        <v>7.7058768916535847E-3</v>
      </c>
    </row>
    <row r="39" spans="1:31" x14ac:dyDescent="0.25">
      <c r="A39" s="258"/>
      <c r="B39" s="263">
        <v>42184</v>
      </c>
      <c r="C39" s="258">
        <v>20</v>
      </c>
      <c r="D39" s="259">
        <v>98.1</v>
      </c>
      <c r="E39" s="259">
        <v>0</v>
      </c>
      <c r="F39" s="259">
        <f t="shared" si="2"/>
        <v>1962</v>
      </c>
      <c r="G39" s="263">
        <v>42409</v>
      </c>
      <c r="H39" s="258">
        <v>30</v>
      </c>
      <c r="I39" s="259">
        <v>76.650000000000006</v>
      </c>
      <c r="J39" s="259">
        <v>0.04</v>
      </c>
      <c r="K39" s="259">
        <f>H39*I39-J39</f>
        <v>2299.46</v>
      </c>
      <c r="L39" s="258"/>
      <c r="M39" s="258"/>
      <c r="W39" s="131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5">
        <f t="shared" si="1"/>
        <v>4.1954130151033997E-3</v>
      </c>
    </row>
    <row r="40" spans="1:31" x14ac:dyDescent="0.25">
      <c r="A40" s="258"/>
      <c r="B40" s="263">
        <v>42213</v>
      </c>
      <c r="C40" s="258">
        <v>10</v>
      </c>
      <c r="D40" s="259">
        <v>92.5</v>
      </c>
      <c r="E40" s="259">
        <v>0</v>
      </c>
      <c r="F40" s="259">
        <f t="shared" si="2"/>
        <v>925</v>
      </c>
      <c r="G40" s="258"/>
      <c r="H40" s="258"/>
      <c r="I40" s="259"/>
      <c r="J40" s="259"/>
      <c r="K40" s="259"/>
      <c r="L40" s="258"/>
      <c r="M40" s="258"/>
      <c r="W40" s="131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5">
        <f t="shared" si="1"/>
        <v>4.2130886621103425E-3</v>
      </c>
    </row>
    <row r="41" spans="1:31" x14ac:dyDescent="0.25">
      <c r="A41" s="258"/>
      <c r="B41" s="263">
        <v>42213</v>
      </c>
      <c r="C41" s="258">
        <v>10</v>
      </c>
      <c r="D41" s="259">
        <v>91.65</v>
      </c>
      <c r="E41" s="259">
        <v>0</v>
      </c>
      <c r="F41" s="259">
        <f t="shared" si="2"/>
        <v>916.5</v>
      </c>
      <c r="G41" s="258"/>
      <c r="H41" s="258"/>
      <c r="I41" s="259"/>
      <c r="J41" s="259"/>
      <c r="K41" s="259"/>
      <c r="L41" s="258"/>
      <c r="M41" s="258"/>
      <c r="W41" s="131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5">
        <f t="shared" si="1"/>
        <v>7.4955495174733322E-4</v>
      </c>
    </row>
    <row r="42" spans="1:31" ht="20.25" thickBot="1" x14ac:dyDescent="0.35">
      <c r="A42" s="258"/>
      <c r="B42" s="263">
        <v>42213</v>
      </c>
      <c r="C42" s="258">
        <v>15</v>
      </c>
      <c r="D42" s="259">
        <v>94</v>
      </c>
      <c r="E42" s="259">
        <v>0</v>
      </c>
      <c r="F42" s="259">
        <f t="shared" si="2"/>
        <v>1410</v>
      </c>
      <c r="G42" s="258"/>
      <c r="H42" s="258"/>
      <c r="I42" s="259"/>
      <c r="J42" s="259"/>
      <c r="K42" s="259"/>
      <c r="L42" s="258"/>
      <c r="M42" s="258"/>
      <c r="T42" s="90" t="s">
        <v>112</v>
      </c>
      <c r="W42" s="131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5">
        <f t="shared" si="1"/>
        <v>-2.8961136023916145E-3</v>
      </c>
    </row>
    <row r="43" spans="1:31" ht="15.75" thickTop="1" x14ac:dyDescent="0.25">
      <c r="A43" s="258"/>
      <c r="B43" s="263">
        <v>42213</v>
      </c>
      <c r="C43" s="258">
        <v>15</v>
      </c>
      <c r="D43" s="259">
        <v>92.75</v>
      </c>
      <c r="E43" s="259">
        <v>0</v>
      </c>
      <c r="F43" s="259">
        <f t="shared" si="2"/>
        <v>1391.25</v>
      </c>
      <c r="G43" s="258"/>
      <c r="H43" s="258"/>
      <c r="I43" s="259"/>
      <c r="J43" s="259"/>
      <c r="K43" s="259"/>
      <c r="L43" s="258"/>
      <c r="M43" s="258"/>
      <c r="T43" s="96" t="s">
        <v>97</v>
      </c>
      <c r="U43" s="127">
        <v>115.19</v>
      </c>
      <c r="W43" s="131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5">
        <f t="shared" si="1"/>
        <v>-3.7355248412396236E-4</v>
      </c>
    </row>
    <row r="44" spans="1:31" x14ac:dyDescent="0.25">
      <c r="A44" s="258"/>
      <c r="B44" s="263">
        <v>42226</v>
      </c>
      <c r="C44" s="258">
        <v>10</v>
      </c>
      <c r="D44" s="259">
        <v>94.99</v>
      </c>
      <c r="E44" s="259">
        <v>0</v>
      </c>
      <c r="F44" s="259">
        <f>C44*D44</f>
        <v>949.9</v>
      </c>
      <c r="G44" s="258"/>
      <c r="H44" s="258"/>
      <c r="I44" s="259"/>
      <c r="J44" s="259"/>
      <c r="K44" s="259"/>
      <c r="L44" s="258"/>
      <c r="M44" s="258"/>
      <c r="T44" s="86" t="s">
        <v>98</v>
      </c>
      <c r="U44" s="128">
        <v>115.59</v>
      </c>
      <c r="W44" s="131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5">
        <f t="shared" si="1"/>
        <v>-7.5076466771711869E-3</v>
      </c>
    </row>
    <row r="45" spans="1:31" x14ac:dyDescent="0.25">
      <c r="A45" s="258"/>
      <c r="B45" s="263">
        <v>42375</v>
      </c>
      <c r="C45" s="258">
        <v>30</v>
      </c>
      <c r="D45" s="259">
        <v>74.45</v>
      </c>
      <c r="E45" s="259">
        <v>0</v>
      </c>
      <c r="F45" s="259">
        <f>C45*D45</f>
        <v>2233.5</v>
      </c>
      <c r="G45" s="258"/>
      <c r="H45" s="258"/>
      <c r="I45" s="259"/>
      <c r="J45" s="259"/>
      <c r="K45" s="259"/>
      <c r="L45" s="258"/>
      <c r="M45" s="258"/>
      <c r="T45" s="86" t="s">
        <v>99</v>
      </c>
      <c r="U45" s="128" t="s">
        <v>128</v>
      </c>
      <c r="W45" s="131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5">
        <f t="shared" si="1"/>
        <v>1.1247539600712342E-2</v>
      </c>
    </row>
    <row r="46" spans="1:31" ht="20.25" thickBot="1" x14ac:dyDescent="0.3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716" t="s">
        <v>78</v>
      </c>
      <c r="P46" s="716"/>
      <c r="Q46" s="34"/>
      <c r="R46"/>
      <c r="T46" s="86" t="s">
        <v>100</v>
      </c>
      <c r="U46" s="128" t="s">
        <v>128</v>
      </c>
      <c r="W46" s="131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5">
        <f t="shared" si="1"/>
        <v>-3.735176020170039E-3</v>
      </c>
    </row>
    <row r="47" spans="1:31" ht="15.75" thickTop="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82">
        <v>1.1000000000000001</v>
      </c>
      <c r="P47" s="82">
        <f>O47*$Q$4</f>
        <v>115.33500000000001</v>
      </c>
      <c r="Q47" s="34"/>
      <c r="R47"/>
      <c r="T47" s="86" t="s">
        <v>101</v>
      </c>
      <c r="U47" s="128">
        <v>119.17</v>
      </c>
      <c r="W47" s="131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5">
        <f t="shared" si="1"/>
        <v>1.0473674278165701E-2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82">
        <v>1.0900000000000001</v>
      </c>
      <c r="P48" s="82">
        <f t="shared" ref="P48:P67" si="3">O48*$Q$4</f>
        <v>114.2865</v>
      </c>
      <c r="Q48" s="34"/>
      <c r="R48"/>
      <c r="T48" s="86" t="s">
        <v>102</v>
      </c>
      <c r="U48" s="128">
        <v>1.4616</v>
      </c>
      <c r="W48" s="131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5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113.238</v>
      </c>
      <c r="Q49" s="34"/>
      <c r="R49"/>
      <c r="T49" s="86" t="s">
        <v>103</v>
      </c>
      <c r="U49" s="93" t="s">
        <v>669</v>
      </c>
      <c r="W49" s="131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5">
        <f t="shared" si="1"/>
        <v>-1.0959661079388394E-2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82">
        <v>1.07</v>
      </c>
      <c r="P50" s="82">
        <f t="shared" si="3"/>
        <v>112.1895</v>
      </c>
      <c r="Q50" s="82"/>
      <c r="R50"/>
      <c r="T50" s="86"/>
      <c r="U50" s="128"/>
      <c r="W50" s="131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5">
        <f t="shared" si="1"/>
        <v>-8.6734228065370456E-3</v>
      </c>
    </row>
    <row r="51" spans="1:31" x14ac:dyDescent="0.25">
      <c r="O51" s="82">
        <v>1.06</v>
      </c>
      <c r="P51" s="82">
        <f t="shared" si="3"/>
        <v>111.14100000000001</v>
      </c>
      <c r="Q51" s="82"/>
      <c r="R51"/>
      <c r="T51" s="86" t="s">
        <v>104</v>
      </c>
      <c r="U51" s="128" t="s">
        <v>670</v>
      </c>
      <c r="W51" s="131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5">
        <f t="shared" si="1"/>
        <v>-2.3681573913836296E-3</v>
      </c>
    </row>
    <row r="52" spans="1:31" x14ac:dyDescent="0.25">
      <c r="O52" s="82">
        <v>1.05</v>
      </c>
      <c r="P52" s="82">
        <f t="shared" si="3"/>
        <v>110.0925</v>
      </c>
      <c r="Q52" s="82"/>
      <c r="R52"/>
      <c r="T52" s="86" t="s">
        <v>105</v>
      </c>
      <c r="U52" s="128" t="s">
        <v>535</v>
      </c>
      <c r="W52" s="131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5">
        <f t="shared" si="1"/>
        <v>1.5633672525439568E-2</v>
      </c>
    </row>
    <row r="53" spans="1:31" x14ac:dyDescent="0.25">
      <c r="O53" s="82">
        <v>1.04</v>
      </c>
      <c r="P53" s="82">
        <f t="shared" si="3"/>
        <v>109.044</v>
      </c>
      <c r="Q53" s="82"/>
      <c r="R53"/>
      <c r="T53" s="86" t="s">
        <v>106</v>
      </c>
      <c r="U53" s="129">
        <v>1726477</v>
      </c>
      <c r="W53" s="131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5">
        <f t="shared" si="1"/>
        <v>6.705159247532011E-3</v>
      </c>
    </row>
    <row r="54" spans="1:31" x14ac:dyDescent="0.25">
      <c r="O54" s="82">
        <v>1.03</v>
      </c>
      <c r="P54" s="82">
        <f t="shared" si="3"/>
        <v>107.99549999999999</v>
      </c>
      <c r="Q54" s="82"/>
      <c r="R54"/>
      <c r="T54" s="86" t="s">
        <v>109</v>
      </c>
      <c r="U54" s="129">
        <v>2143790</v>
      </c>
      <c r="W54" s="131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5">
        <f t="shared" si="1"/>
        <v>-5.5565845526950319E-3</v>
      </c>
    </row>
    <row r="55" spans="1:31" x14ac:dyDescent="0.25">
      <c r="O55" s="82">
        <v>1.02</v>
      </c>
      <c r="P55" s="82">
        <f t="shared" si="3"/>
        <v>106.947</v>
      </c>
      <c r="Q55" s="82"/>
      <c r="R55"/>
      <c r="T55" s="86" t="s">
        <v>107</v>
      </c>
      <c r="U55" s="128" t="s">
        <v>671</v>
      </c>
      <c r="W55" s="131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5">
        <f t="shared" si="1"/>
        <v>2.2150700492237885E-2</v>
      </c>
    </row>
    <row r="56" spans="1:31" x14ac:dyDescent="0.25">
      <c r="O56" s="82">
        <v>1.01</v>
      </c>
      <c r="P56" s="82">
        <f t="shared" si="3"/>
        <v>105.8985</v>
      </c>
      <c r="Q56" s="82"/>
      <c r="R56"/>
      <c r="T56" s="86" t="s">
        <v>110</v>
      </c>
      <c r="U56" s="128">
        <v>20.41</v>
      </c>
      <c r="W56" s="131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5">
        <f t="shared" si="1"/>
        <v>2.384182981197891E-2</v>
      </c>
    </row>
    <row r="57" spans="1:31" x14ac:dyDescent="0.25">
      <c r="O57" s="82">
        <v>1</v>
      </c>
      <c r="P57" s="82">
        <f t="shared" si="3"/>
        <v>104.85</v>
      </c>
      <c r="Q57" s="82"/>
      <c r="R57"/>
      <c r="T57" s="86" t="s">
        <v>111</v>
      </c>
      <c r="U57" s="128">
        <v>5.62</v>
      </c>
      <c r="W57" s="131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5">
        <f t="shared" si="1"/>
        <v>3.8918077446974397E-3</v>
      </c>
    </row>
    <row r="58" spans="1:31" x14ac:dyDescent="0.25">
      <c r="O58" s="82">
        <v>0.99</v>
      </c>
      <c r="P58" s="82">
        <f t="shared" si="3"/>
        <v>103.80149999999999</v>
      </c>
      <c r="Q58" s="82"/>
      <c r="R58"/>
      <c r="T58" s="86" t="s">
        <v>108</v>
      </c>
      <c r="U58" s="128" t="s">
        <v>586</v>
      </c>
      <c r="W58" s="131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5">
        <f t="shared" si="1"/>
        <v>-1.786908743430482E-2</v>
      </c>
    </row>
    <row r="59" spans="1:31" x14ac:dyDescent="0.25">
      <c r="O59" s="82">
        <v>0.98</v>
      </c>
      <c r="P59" s="82">
        <f t="shared" si="3"/>
        <v>102.75299999999999</v>
      </c>
      <c r="Q59" s="82"/>
      <c r="R59"/>
      <c r="W59" s="131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5">
        <f t="shared" si="1"/>
        <v>5.1868216309673976E-3</v>
      </c>
    </row>
    <row r="60" spans="1:31" x14ac:dyDescent="0.25">
      <c r="O60" s="82">
        <v>0.97</v>
      </c>
      <c r="P60" s="82">
        <f t="shared" si="3"/>
        <v>101.7045</v>
      </c>
      <c r="Q60" s="82"/>
      <c r="R60"/>
      <c r="W60" s="131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5">
        <f t="shared" si="1"/>
        <v>4.1473765432098464E-3</v>
      </c>
    </row>
    <row r="61" spans="1:31" x14ac:dyDescent="0.25">
      <c r="O61" s="82">
        <v>0.96</v>
      </c>
      <c r="P61" s="82">
        <f t="shared" si="3"/>
        <v>100.65599999999999</v>
      </c>
      <c r="Q61" s="82"/>
      <c r="R61"/>
      <c r="W61" s="131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5">
        <f t="shared" si="1"/>
        <v>8.2660702129728758E-3</v>
      </c>
    </row>
    <row r="62" spans="1:31" x14ac:dyDescent="0.25">
      <c r="O62" s="82">
        <v>0.95</v>
      </c>
      <c r="P62" s="82">
        <f t="shared" si="3"/>
        <v>99.607499999999987</v>
      </c>
      <c r="Q62" s="82"/>
      <c r="R62"/>
      <c r="W62" s="131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5">
        <f t="shared" si="1"/>
        <v>9.7211311861742367E-3</v>
      </c>
    </row>
    <row r="63" spans="1:31" x14ac:dyDescent="0.25">
      <c r="O63" s="82">
        <v>0.94</v>
      </c>
      <c r="P63" s="82">
        <f t="shared" si="3"/>
        <v>98.558999999999983</v>
      </c>
      <c r="Q63" s="82"/>
      <c r="R63"/>
      <c r="T63" s="85"/>
      <c r="W63" s="131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5">
        <f t="shared" si="1"/>
        <v>-7.4074074074073071E-3</v>
      </c>
    </row>
    <row r="64" spans="1:31" x14ac:dyDescent="0.25">
      <c r="O64" s="82">
        <v>0.93</v>
      </c>
      <c r="P64" s="82">
        <f t="shared" si="3"/>
        <v>97.510499999999993</v>
      </c>
      <c r="Q64" s="82"/>
      <c r="R64"/>
      <c r="S64" s="85"/>
      <c r="T64"/>
      <c r="W64" s="131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5">
        <f t="shared" si="1"/>
        <v>1.0339734121122657E-2</v>
      </c>
    </row>
    <row r="65" spans="15:31" x14ac:dyDescent="0.25">
      <c r="O65" s="82">
        <v>0.92</v>
      </c>
      <c r="P65" s="82">
        <f t="shared" si="3"/>
        <v>96.462000000000003</v>
      </c>
      <c r="Q65" s="82"/>
      <c r="R65"/>
      <c r="S65" s="85"/>
      <c r="T65"/>
      <c r="W65" s="131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5">
        <f t="shared" si="1"/>
        <v>-9.8478939157566892E-3</v>
      </c>
    </row>
    <row r="66" spans="15:31" x14ac:dyDescent="0.25">
      <c r="O66" s="82">
        <v>0.91</v>
      </c>
      <c r="P66" s="82">
        <f t="shared" si="3"/>
        <v>95.413499999999999</v>
      </c>
      <c r="Q66" s="82"/>
      <c r="R66"/>
      <c r="S66" s="85"/>
      <c r="T66"/>
      <c r="W66" s="131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5">
        <f t="shared" si="1"/>
        <v>6.0820090249167347E-3</v>
      </c>
    </row>
    <row r="67" spans="15:31" x14ac:dyDescent="0.25">
      <c r="O67" s="82">
        <v>0.9</v>
      </c>
      <c r="P67" s="82">
        <f t="shared" si="3"/>
        <v>94.364999999999995</v>
      </c>
      <c r="Q67" s="82"/>
      <c r="R67"/>
      <c r="S67" s="85"/>
      <c r="T67"/>
      <c r="W67" s="131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5">
        <f>AC67/AC68-1</f>
        <v>-1.1155301193132239E-2</v>
      </c>
    </row>
    <row r="68" spans="15:31" x14ac:dyDescent="0.25">
      <c r="W68" s="131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2" priority="11">
      <formula>F24&gt;0</formula>
    </cfRule>
    <cfRule type="expression" dxfId="591" priority="12">
      <formula>F24&lt;0</formula>
    </cfRule>
  </conditionalFormatting>
  <conditionalFormatting sqref="H27:H30">
    <cfRule type="expression" dxfId="590" priority="9">
      <formula>H27&gt;0</formula>
    </cfRule>
    <cfRule type="expression" dxfId="589" priority="10">
      <formula>H27&lt;0</formula>
    </cfRule>
  </conditionalFormatting>
  <conditionalFormatting sqref="F25">
    <cfRule type="expression" dxfId="588" priority="7">
      <formula>F25&gt;0</formula>
    </cfRule>
    <cfRule type="expression" dxfId="587" priority="8">
      <formula>F25&lt;0</formula>
    </cfRule>
  </conditionalFormatting>
  <conditionalFormatting sqref="H24:H26">
    <cfRule type="expression" dxfId="586" priority="5">
      <formula>H24&gt;0</formula>
    </cfRule>
    <cfRule type="expression" dxfId="585" priority="6">
      <formula>H24&lt;0</formula>
    </cfRule>
  </conditionalFormatting>
  <conditionalFormatting sqref="Q7">
    <cfRule type="expression" dxfId="584" priority="3">
      <formula>Q7&gt;0</formula>
    </cfRule>
    <cfRule type="expression" dxfId="583" priority="4">
      <formula>Q7&lt;0</formula>
    </cfRule>
  </conditionalFormatting>
  <conditionalFormatting sqref="Q8">
    <cfRule type="expression" dxfId="582" priority="1">
      <formula>Q8&gt;0</formula>
    </cfRule>
    <cfRule type="expression" dxfId="58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49.93</v>
      </c>
      <c r="Y2" s="40">
        <v>50.75</v>
      </c>
      <c r="Z2" s="40">
        <v>49.59</v>
      </c>
      <c r="AA2" s="360">
        <v>49.78</v>
      </c>
      <c r="AB2" s="94">
        <v>1141600</v>
      </c>
      <c r="AC2" s="240">
        <v>49.78</v>
      </c>
      <c r="AD2" s="2">
        <f>Y2-Z2</f>
        <v>1.1599999999999966</v>
      </c>
      <c r="AE2" s="135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57.45</v>
      </c>
      <c r="T3" s="119"/>
      <c r="W3" s="93">
        <v>42829</v>
      </c>
      <c r="X3" s="360">
        <v>50.04</v>
      </c>
      <c r="Y3" s="40">
        <v>50.15</v>
      </c>
      <c r="Z3" s="40">
        <v>49.32</v>
      </c>
      <c r="AA3" s="360">
        <v>49.76</v>
      </c>
      <c r="AB3" s="94">
        <v>1479500</v>
      </c>
      <c r="AC3" s="240">
        <v>49.76</v>
      </c>
      <c r="AD3" s="2">
        <f>Y3-Z3</f>
        <v>0.82999999999999829</v>
      </c>
      <c r="AE3" s="135">
        <f>AC3/AC4-1</f>
        <v>-8.5674437138871795E-3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57.45</v>
      </c>
      <c r="R4" s="515">
        <v>-2.0000000000000001E-4</v>
      </c>
      <c r="T4" s="119"/>
      <c r="W4" s="93">
        <v>42828</v>
      </c>
      <c r="X4" s="360">
        <v>50.74</v>
      </c>
      <c r="Y4" s="40">
        <v>50.95</v>
      </c>
      <c r="Z4" s="40">
        <v>50</v>
      </c>
      <c r="AA4" s="360">
        <v>50.19</v>
      </c>
      <c r="AB4" s="94">
        <v>1299500</v>
      </c>
      <c r="AC4" s="240">
        <v>50.19</v>
      </c>
      <c r="AD4" s="2">
        <f t="shared" ref="AD4:AD67" si="0">Y4-Z4</f>
        <v>0.95000000000000284</v>
      </c>
      <c r="AE4" s="135">
        <f t="shared" ref="AE4:AE67" si="1">AC4/AC5-1</f>
        <v>-1.0644589000591398E-2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50.99</v>
      </c>
      <c r="Y5" s="40">
        <v>51.2</v>
      </c>
      <c r="Z5" s="40">
        <v>50.44</v>
      </c>
      <c r="AA5" s="360">
        <v>50.73</v>
      </c>
      <c r="AB5" s="94">
        <v>1105900</v>
      </c>
      <c r="AC5" s="240">
        <v>50.73</v>
      </c>
      <c r="AD5" s="2">
        <f t="shared" si="0"/>
        <v>0.76000000000000512</v>
      </c>
      <c r="AE5" s="135">
        <f t="shared" si="1"/>
        <v>-9.9531615925059214E-3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50.89</v>
      </c>
      <c r="Y6" s="40">
        <v>51.37</v>
      </c>
      <c r="Z6" s="40">
        <v>50.89</v>
      </c>
      <c r="AA6" s="360">
        <v>51.24</v>
      </c>
      <c r="AB6" s="94">
        <v>754000</v>
      </c>
      <c r="AC6" s="240">
        <v>51.24</v>
      </c>
      <c r="AD6" s="2">
        <f t="shared" si="0"/>
        <v>0.47999999999999687</v>
      </c>
      <c r="AE6" s="135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4"/>
      <c r="W7" s="93">
        <v>42823</v>
      </c>
      <c r="X7" s="360">
        <v>51.09</v>
      </c>
      <c r="Y7" s="40">
        <v>51.3</v>
      </c>
      <c r="Z7" s="40">
        <v>50.65</v>
      </c>
      <c r="AA7" s="360">
        <v>50.86</v>
      </c>
      <c r="AB7" s="94">
        <v>1237800</v>
      </c>
      <c r="AC7" s="240">
        <v>50.86</v>
      </c>
      <c r="AD7" s="2">
        <f t="shared" si="0"/>
        <v>0.64999999999999858</v>
      </c>
      <c r="AE7" s="135">
        <f t="shared" si="1"/>
        <v>-8.5769980506822385E-3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51.8</v>
      </c>
      <c r="Y8" s="40">
        <v>52.1</v>
      </c>
      <c r="Z8" s="40">
        <v>51.13</v>
      </c>
      <c r="AA8" s="360">
        <v>51.3</v>
      </c>
      <c r="AB8" s="94">
        <v>1548100</v>
      </c>
      <c r="AC8" s="240">
        <v>51.3</v>
      </c>
      <c r="AD8" s="2">
        <f t="shared" si="0"/>
        <v>0.96999999999999886</v>
      </c>
      <c r="AE8" s="135">
        <f t="shared" si="1"/>
        <v>5.488043904351203E-3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50.15</v>
      </c>
      <c r="Y9" s="40">
        <v>51.17</v>
      </c>
      <c r="Z9" s="40">
        <v>49.92</v>
      </c>
      <c r="AA9" s="360">
        <v>51.02</v>
      </c>
      <c r="AB9" s="94">
        <v>887400</v>
      </c>
      <c r="AC9" s="240">
        <v>51.02</v>
      </c>
      <c r="AD9" s="2">
        <f t="shared" si="0"/>
        <v>1.25</v>
      </c>
      <c r="AE9" s="135">
        <f t="shared" si="1"/>
        <v>1.0697305863708539E-2</v>
      </c>
      <c r="AK9" s="231"/>
      <c r="AN9" s="231"/>
    </row>
    <row r="10" spans="1:40" ht="12.75" customHeight="1" x14ac:dyDescent="0.25">
      <c r="O10" s="11" t="s">
        <v>210</v>
      </c>
      <c r="Q10" s="2">
        <f>M37</f>
        <v>427.92000000000007</v>
      </c>
      <c r="W10" s="93">
        <v>42818</v>
      </c>
      <c r="X10" s="360">
        <v>51.34</v>
      </c>
      <c r="Y10" s="40">
        <v>51.53</v>
      </c>
      <c r="Z10" s="40">
        <v>50.3</v>
      </c>
      <c r="AA10" s="360">
        <v>50.48</v>
      </c>
      <c r="AB10" s="94">
        <v>1306900</v>
      </c>
      <c r="AC10" s="240">
        <v>50.48</v>
      </c>
      <c r="AD10" s="2">
        <f t="shared" si="0"/>
        <v>1.230000000000004</v>
      </c>
      <c r="AE10" s="135">
        <f t="shared" si="1"/>
        <v>-1.2326354920759175E-2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50.98</v>
      </c>
      <c r="Y11" s="40">
        <v>51.67</v>
      </c>
      <c r="Z11" s="40">
        <v>50.88</v>
      </c>
      <c r="AA11" s="360">
        <v>51.11</v>
      </c>
      <c r="AB11" s="94">
        <v>1081500</v>
      </c>
      <c r="AC11" s="240">
        <v>51.11</v>
      </c>
      <c r="AD11" s="2">
        <f t="shared" si="0"/>
        <v>0.78999999999999915</v>
      </c>
      <c r="AE11" s="135">
        <f t="shared" si="1"/>
        <v>2.7467137531882457E-3</v>
      </c>
      <c r="AK11" s="231"/>
      <c r="AN11" s="231"/>
    </row>
    <row r="12" spans="1:40" x14ac:dyDescent="0.25">
      <c r="W12" s="93">
        <v>42816</v>
      </c>
      <c r="X12" s="360">
        <v>50.11</v>
      </c>
      <c r="Y12" s="40">
        <v>51.13</v>
      </c>
      <c r="Z12" s="40">
        <v>49.55</v>
      </c>
      <c r="AA12" s="360">
        <v>50.97</v>
      </c>
      <c r="AB12" s="94">
        <v>1129000</v>
      </c>
      <c r="AC12" s="240">
        <v>50.97</v>
      </c>
      <c r="AD12" s="2">
        <f t="shared" si="0"/>
        <v>1.5800000000000054</v>
      </c>
      <c r="AE12" s="135">
        <f t="shared" si="1"/>
        <v>1.9400000000000084E-2</v>
      </c>
    </row>
    <row r="13" spans="1:40" x14ac:dyDescent="0.25">
      <c r="W13" s="93">
        <v>42815</v>
      </c>
      <c r="X13" s="360">
        <v>51.3</v>
      </c>
      <c r="Y13" s="40">
        <v>51.72</v>
      </c>
      <c r="Z13" s="40">
        <v>49.95</v>
      </c>
      <c r="AA13" s="360">
        <v>50</v>
      </c>
      <c r="AB13" s="94">
        <v>1150500</v>
      </c>
      <c r="AC13" s="240">
        <v>50</v>
      </c>
      <c r="AD13" s="2">
        <f t="shared" si="0"/>
        <v>1.769999999999996</v>
      </c>
      <c r="AE13" s="135">
        <f t="shared" si="1"/>
        <v>-2.1526418786692814E-2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51.36</v>
      </c>
      <c r="Y14" s="40">
        <v>51.53</v>
      </c>
      <c r="Z14" s="40">
        <v>50.81</v>
      </c>
      <c r="AA14" s="360">
        <v>51.1</v>
      </c>
      <c r="AB14" s="94">
        <v>838900</v>
      </c>
      <c r="AC14" s="240">
        <v>51.1</v>
      </c>
      <c r="AD14" s="2">
        <f t="shared" si="0"/>
        <v>0.71999999999999886</v>
      </c>
      <c r="AE14" s="135">
        <f t="shared" si="1"/>
        <v>-4.0927694406548421E-3</v>
      </c>
    </row>
    <row r="15" spans="1:40" x14ac:dyDescent="0.25">
      <c r="W15" s="93">
        <v>42811</v>
      </c>
      <c r="X15" s="360">
        <v>51.71</v>
      </c>
      <c r="Y15" s="40">
        <v>51.85</v>
      </c>
      <c r="Z15" s="40">
        <v>51.25</v>
      </c>
      <c r="AA15" s="360">
        <v>51.31</v>
      </c>
      <c r="AB15" s="94">
        <v>1236400</v>
      </c>
      <c r="AC15" s="240">
        <v>51.31</v>
      </c>
      <c r="AD15" s="2">
        <f t="shared" si="0"/>
        <v>0.60000000000000142</v>
      </c>
      <c r="AE15" s="135">
        <f t="shared" si="1"/>
        <v>-2.3332685203187875E-3</v>
      </c>
      <c r="AK15" s="231"/>
      <c r="AN15" s="231"/>
    </row>
    <row r="16" spans="1:40" x14ac:dyDescent="0.25">
      <c r="W16" s="93">
        <v>42810</v>
      </c>
      <c r="X16" s="360">
        <v>51.35</v>
      </c>
      <c r="Y16" s="40">
        <v>51.45</v>
      </c>
      <c r="Z16" s="40">
        <v>51.06</v>
      </c>
      <c r="AA16" s="360">
        <v>51.43</v>
      </c>
      <c r="AB16" s="94">
        <v>775100</v>
      </c>
      <c r="AC16" s="240">
        <v>51.43</v>
      </c>
      <c r="AD16" s="2">
        <f t="shared" si="0"/>
        <v>0.39000000000000057</v>
      </c>
      <c r="AE16" s="135">
        <f t="shared" si="1"/>
        <v>3.8902937171769736E-4</v>
      </c>
    </row>
    <row r="17" spans="1:40" x14ac:dyDescent="0.25">
      <c r="W17" s="93">
        <v>42809</v>
      </c>
      <c r="X17" s="360">
        <v>51.05</v>
      </c>
      <c r="Y17" s="40">
        <v>51.49</v>
      </c>
      <c r="Z17" s="40">
        <v>50.71</v>
      </c>
      <c r="AA17" s="360">
        <v>51.41</v>
      </c>
      <c r="AB17" s="94">
        <v>1141500</v>
      </c>
      <c r="AC17" s="240">
        <v>51.41</v>
      </c>
      <c r="AD17" s="2">
        <f t="shared" si="0"/>
        <v>0.78000000000000114</v>
      </c>
      <c r="AE17" s="135">
        <f t="shared" si="1"/>
        <v>8.8304552590265928E-3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0">
        <v>51.21</v>
      </c>
      <c r="Y18" s="40">
        <v>51.23</v>
      </c>
      <c r="Z18" s="40">
        <v>50.4</v>
      </c>
      <c r="AA18" s="360">
        <v>50.96</v>
      </c>
      <c r="AB18" s="94">
        <v>1066000</v>
      </c>
      <c r="AC18" s="240">
        <v>50.96</v>
      </c>
      <c r="AD18" s="2">
        <f t="shared" si="0"/>
        <v>0.82999999999999829</v>
      </c>
      <c r="AE18" s="135">
        <f t="shared" si="1"/>
        <v>-7.0148090413094666E-3</v>
      </c>
    </row>
    <row r="19" spans="1:40" x14ac:dyDescent="0.25">
      <c r="W19" s="93">
        <v>42807</v>
      </c>
      <c r="X19" s="360">
        <v>51.83</v>
      </c>
      <c r="Y19" s="40">
        <v>51.83</v>
      </c>
      <c r="Z19" s="40">
        <v>51.11</v>
      </c>
      <c r="AA19" s="360">
        <v>51.32</v>
      </c>
      <c r="AB19" s="94">
        <v>1086300</v>
      </c>
      <c r="AC19" s="240">
        <v>51.32</v>
      </c>
      <c r="AD19" s="2">
        <f t="shared" si="0"/>
        <v>0.71999999999999886</v>
      </c>
      <c r="AE19" s="135">
        <f t="shared" si="1"/>
        <v>4.3052837573385183E-3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42804</v>
      </c>
      <c r="X20" s="360">
        <v>50.23</v>
      </c>
      <c r="Y20" s="40">
        <v>51.22</v>
      </c>
      <c r="Z20" s="40">
        <v>50.07</v>
      </c>
      <c r="AA20" s="360">
        <v>51.1</v>
      </c>
      <c r="AB20" s="94">
        <v>1157000</v>
      </c>
      <c r="AC20" s="240">
        <v>51.1</v>
      </c>
      <c r="AD20" s="2">
        <f t="shared" si="0"/>
        <v>1.1499999999999986</v>
      </c>
      <c r="AE20" s="135">
        <f t="shared" si="1"/>
        <v>2.3637820512820484E-2</v>
      </c>
    </row>
    <row r="21" spans="1:40" x14ac:dyDescent="0.25">
      <c r="B21" s="190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8">
        <f t="shared" ref="H21:H26" si="4">(E21-D21)/D21</f>
        <v>-5.190311418685113E-3</v>
      </c>
      <c r="I21" s="40"/>
      <c r="W21" s="93">
        <v>42803</v>
      </c>
      <c r="X21" s="360">
        <v>49.77</v>
      </c>
      <c r="Y21" s="40">
        <v>50.06</v>
      </c>
      <c r="Z21" s="40">
        <v>49.48</v>
      </c>
      <c r="AA21" s="360">
        <v>49.92</v>
      </c>
      <c r="AB21" s="94">
        <v>765700</v>
      </c>
      <c r="AC21" s="240">
        <v>49.92</v>
      </c>
      <c r="AD21" s="2">
        <f t="shared" si="0"/>
        <v>0.5800000000000054</v>
      </c>
      <c r="AE21" s="135">
        <f t="shared" si="1"/>
        <v>8.0775444264942209E-3</v>
      </c>
      <c r="AK21" s="231"/>
      <c r="AN21" s="231"/>
    </row>
    <row r="22" spans="1:40" x14ac:dyDescent="0.25">
      <c r="B22" s="190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8">
        <f t="shared" si="4"/>
        <v>3.085351787773934E-2</v>
      </c>
      <c r="I22" s="40"/>
      <c r="W22" s="93">
        <v>42802</v>
      </c>
      <c r="X22" s="360">
        <v>49.59</v>
      </c>
      <c r="Y22" s="40">
        <v>49.83</v>
      </c>
      <c r="Z22" s="40">
        <v>49.4</v>
      </c>
      <c r="AA22" s="360">
        <v>49.52</v>
      </c>
      <c r="AB22" s="94">
        <v>776700</v>
      </c>
      <c r="AC22" s="240">
        <v>49.52</v>
      </c>
      <c r="AD22" s="2">
        <f t="shared" si="0"/>
        <v>0.42999999999999972</v>
      </c>
      <c r="AE22" s="135">
        <f t="shared" si="1"/>
        <v>2.0234722784298054E-3</v>
      </c>
    </row>
    <row r="23" spans="1:40" x14ac:dyDescent="0.25">
      <c r="B23" s="190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8">
        <f t="shared" si="4"/>
        <v>1.9031141868512218E-2</v>
      </c>
      <c r="I23" s="40"/>
      <c r="W23" s="93">
        <v>42801</v>
      </c>
      <c r="X23" s="360">
        <v>49.56</v>
      </c>
      <c r="Y23" s="40">
        <v>49.76</v>
      </c>
      <c r="Z23" s="40">
        <v>49.05</v>
      </c>
      <c r="AA23" s="360">
        <v>49.42</v>
      </c>
      <c r="AB23" s="94">
        <v>806900</v>
      </c>
      <c r="AC23" s="240">
        <v>49.42</v>
      </c>
      <c r="AD23" s="2">
        <f t="shared" si="0"/>
        <v>0.71000000000000085</v>
      </c>
      <c r="AE23" s="135">
        <f t="shared" si="1"/>
        <v>-6.8327974276526371E-3</v>
      </c>
      <c r="AK23" s="231"/>
    </row>
    <row r="24" spans="1:40" x14ac:dyDescent="0.25">
      <c r="B24" s="190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8">
        <f t="shared" si="4"/>
        <v>4.7001153402537563E-2</v>
      </c>
      <c r="I24" s="40"/>
      <c r="W24" s="93">
        <v>42800</v>
      </c>
      <c r="X24" s="360">
        <v>49.9</v>
      </c>
      <c r="Y24" s="40">
        <v>50</v>
      </c>
      <c r="Z24" s="40">
        <v>49.16</v>
      </c>
      <c r="AA24" s="360">
        <v>49.76</v>
      </c>
      <c r="AB24" s="94">
        <v>1200800</v>
      </c>
      <c r="AC24" s="240">
        <v>49.76</v>
      </c>
      <c r="AD24" s="2">
        <f t="shared" si="0"/>
        <v>0.84000000000000341</v>
      </c>
      <c r="AE24" s="135">
        <f t="shared" si="1"/>
        <v>-6.984633805627638E-3</v>
      </c>
    </row>
    <row r="25" spans="1:40" x14ac:dyDescent="0.25">
      <c r="B25" s="190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8">
        <f t="shared" si="4"/>
        <v>7.1799307958477568E-2</v>
      </c>
      <c r="I25" s="40"/>
      <c r="W25" s="93">
        <v>42797</v>
      </c>
      <c r="X25" s="360">
        <v>51</v>
      </c>
      <c r="Y25" s="40">
        <v>51</v>
      </c>
      <c r="Z25" s="40">
        <v>49.79</v>
      </c>
      <c r="AA25" s="360">
        <v>50.11</v>
      </c>
      <c r="AB25" s="94">
        <v>849100</v>
      </c>
      <c r="AC25" s="240">
        <v>50.11</v>
      </c>
      <c r="AD25" s="2">
        <f t="shared" si="0"/>
        <v>1.2100000000000009</v>
      </c>
      <c r="AE25" s="135">
        <f t="shared" si="1"/>
        <v>-1.7065515888583738E-2</v>
      </c>
    </row>
    <row r="26" spans="1:40" x14ac:dyDescent="0.25">
      <c r="B26" s="190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8">
        <f t="shared" si="4"/>
        <v>8.7081891580161566E-2</v>
      </c>
      <c r="I26" s="40"/>
      <c r="W26" s="93">
        <v>42796</v>
      </c>
      <c r="X26" s="360">
        <v>50.79</v>
      </c>
      <c r="Y26" s="40">
        <v>51.25</v>
      </c>
      <c r="Z26" s="40">
        <v>50.63</v>
      </c>
      <c r="AA26" s="360">
        <v>50.98</v>
      </c>
      <c r="AB26" s="94">
        <v>878700</v>
      </c>
      <c r="AC26" s="240">
        <v>50.98</v>
      </c>
      <c r="AD26" s="2">
        <f t="shared" si="0"/>
        <v>0.61999999999999744</v>
      </c>
      <c r="AE26" s="135">
        <f t="shared" si="1"/>
        <v>-1.3712047012732764E-3</v>
      </c>
    </row>
    <row r="27" spans="1:40" x14ac:dyDescent="0.25">
      <c r="B27" s="190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8">
        <f>(E27-D27)/D27</f>
        <v>0.11418685121107269</v>
      </c>
      <c r="I27" s="40"/>
      <c r="W27" s="93">
        <v>42795</v>
      </c>
      <c r="X27" s="360">
        <v>51.12</v>
      </c>
      <c r="Y27" s="40">
        <v>51.61</v>
      </c>
      <c r="Z27" s="40">
        <v>50.42</v>
      </c>
      <c r="AA27" s="360">
        <v>51.05</v>
      </c>
      <c r="AB27" s="94">
        <v>1192400</v>
      </c>
      <c r="AC27" s="240">
        <v>51.05</v>
      </c>
      <c r="AD27" s="2">
        <f t="shared" si="0"/>
        <v>1.1899999999999977</v>
      </c>
      <c r="AE27" s="135">
        <f t="shared" si="1"/>
        <v>6.9033530571991353E-3</v>
      </c>
    </row>
    <row r="28" spans="1:40" x14ac:dyDescent="0.25">
      <c r="B28" s="190">
        <v>42663</v>
      </c>
      <c r="C28" s="10">
        <v>0</v>
      </c>
      <c r="D28" s="40"/>
      <c r="E28" s="40"/>
      <c r="F28" s="40">
        <v>192.96</v>
      </c>
      <c r="G28" s="40"/>
      <c r="H28" s="228"/>
      <c r="I28" s="40"/>
      <c r="W28" s="93">
        <v>42794</v>
      </c>
      <c r="X28" s="360">
        <v>50.82</v>
      </c>
      <c r="Y28" s="40">
        <v>51.2</v>
      </c>
      <c r="Z28" s="40">
        <v>50.45</v>
      </c>
      <c r="AA28" s="360">
        <v>50.7</v>
      </c>
      <c r="AB28" s="94">
        <v>932200</v>
      </c>
      <c r="AC28" s="240">
        <v>50.7</v>
      </c>
      <c r="AD28" s="2">
        <f t="shared" si="0"/>
        <v>0.75</v>
      </c>
      <c r="AE28" s="135">
        <f t="shared" si="1"/>
        <v>-1.378766988379021E-3</v>
      </c>
    </row>
    <row r="29" spans="1:40" x14ac:dyDescent="0.25">
      <c r="B29" s="190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8">
        <f>(E29-D29)/D29</f>
        <v>-2.3783488244942523E-2</v>
      </c>
      <c r="I29" s="40"/>
      <c r="W29" s="93">
        <v>42793</v>
      </c>
      <c r="X29" s="360">
        <v>49.93</v>
      </c>
      <c r="Y29" s="40">
        <v>50.83</v>
      </c>
      <c r="Z29" s="40">
        <v>49.57</v>
      </c>
      <c r="AA29" s="360">
        <v>50.77</v>
      </c>
      <c r="AB29" s="94">
        <v>1326600</v>
      </c>
      <c r="AC29" s="240">
        <v>50.77</v>
      </c>
      <c r="AD29" s="2">
        <f t="shared" si="0"/>
        <v>1.259999999999998</v>
      </c>
      <c r="AE29" s="135">
        <f t="shared" si="1"/>
        <v>1.4994002399040474E-2</v>
      </c>
    </row>
    <row r="30" spans="1:40" x14ac:dyDescent="0.25">
      <c r="B30" s="190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8">
        <f>(E30-D30)/D30</f>
        <v>6.2602515035538528E-2</v>
      </c>
      <c r="I30" s="40"/>
      <c r="W30" s="93">
        <v>42790</v>
      </c>
      <c r="X30" s="360">
        <v>50.51</v>
      </c>
      <c r="Y30" s="40">
        <v>50.63</v>
      </c>
      <c r="Z30" s="40">
        <v>49.77</v>
      </c>
      <c r="AA30" s="360">
        <v>50.02</v>
      </c>
      <c r="AB30" s="94">
        <v>1442900</v>
      </c>
      <c r="AC30" s="240">
        <v>50.02</v>
      </c>
      <c r="AD30" s="2">
        <f t="shared" si="0"/>
        <v>0.85999999999999943</v>
      </c>
      <c r="AE30" s="135">
        <f t="shared" si="1"/>
        <v>-1.3022888713496328E-2</v>
      </c>
    </row>
    <row r="31" spans="1:40" x14ac:dyDescent="0.25">
      <c r="B31" s="190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8">
        <f>(E31-D31)/D31</f>
        <v>0.10934937124111536</v>
      </c>
      <c r="I31" s="40"/>
      <c r="W31" s="93">
        <v>42789</v>
      </c>
      <c r="X31" s="360">
        <v>52.48</v>
      </c>
      <c r="Y31" s="40">
        <v>52.5</v>
      </c>
      <c r="Z31" s="40">
        <v>50.61</v>
      </c>
      <c r="AA31" s="360">
        <v>50.68</v>
      </c>
      <c r="AB31" s="94">
        <v>1869800</v>
      </c>
      <c r="AC31" s="240">
        <v>50.68</v>
      </c>
      <c r="AD31" s="2">
        <f t="shared" si="0"/>
        <v>1.8900000000000006</v>
      </c>
      <c r="AE31" s="135">
        <f t="shared" si="1"/>
        <v>-1.8590240123934954E-2</v>
      </c>
    </row>
    <row r="32" spans="1:40" x14ac:dyDescent="0.25">
      <c r="B32" s="190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8">
        <f>(E32-D32)/D32</f>
        <v>6.205576817933306E-2</v>
      </c>
      <c r="I32" s="40"/>
      <c r="W32" s="93">
        <v>42788</v>
      </c>
      <c r="X32" s="360">
        <v>49.24</v>
      </c>
      <c r="Y32" s="40">
        <v>52.14</v>
      </c>
      <c r="Z32" s="40">
        <v>48.68</v>
      </c>
      <c r="AA32" s="360">
        <v>51.64</v>
      </c>
      <c r="AB32" s="94">
        <v>4043000</v>
      </c>
      <c r="AC32" s="240">
        <v>51.64</v>
      </c>
      <c r="AD32" s="2">
        <f t="shared" si="0"/>
        <v>3.4600000000000009</v>
      </c>
      <c r="AE32" s="135">
        <f t="shared" si="1"/>
        <v>7.1369294605809097E-2</v>
      </c>
    </row>
    <row r="33" spans="1:31" x14ac:dyDescent="0.25">
      <c r="B33" s="190">
        <v>42710</v>
      </c>
      <c r="C33" s="10">
        <v>0</v>
      </c>
      <c r="D33" s="40"/>
      <c r="E33" s="40"/>
      <c r="F33" s="40">
        <v>234.96</v>
      </c>
      <c r="G33" s="40"/>
      <c r="H33" s="228"/>
      <c r="I33" s="40"/>
      <c r="W33" s="93">
        <v>42787</v>
      </c>
      <c r="X33" s="360">
        <v>47.74</v>
      </c>
      <c r="Y33" s="40">
        <v>48.52</v>
      </c>
      <c r="Z33" s="40">
        <v>47.74</v>
      </c>
      <c r="AA33" s="360">
        <v>48.2</v>
      </c>
      <c r="AB33" s="94">
        <v>1801900</v>
      </c>
      <c r="AC33" s="240">
        <v>48.2</v>
      </c>
      <c r="AD33" s="2">
        <f t="shared" si="0"/>
        <v>0.78000000000000114</v>
      </c>
      <c r="AE33" s="135">
        <f t="shared" si="1"/>
        <v>1.0694065841895695E-2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360">
        <v>47.62</v>
      </c>
      <c r="Y34" s="40">
        <v>47.85</v>
      </c>
      <c r="Z34" s="40">
        <v>47.27</v>
      </c>
      <c r="AA34" s="360">
        <v>47.69</v>
      </c>
      <c r="AB34" s="94">
        <v>1653700</v>
      </c>
      <c r="AC34" s="240">
        <v>47.69</v>
      </c>
      <c r="AD34" s="2">
        <f t="shared" si="0"/>
        <v>0.57999999999999829</v>
      </c>
      <c r="AE34" s="135">
        <f t="shared" si="1"/>
        <v>1.259710266638514E-3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360">
        <v>47.95</v>
      </c>
      <c r="Y35" s="40">
        <v>48.14</v>
      </c>
      <c r="Z35" s="40">
        <v>47.24</v>
      </c>
      <c r="AA35" s="360">
        <v>47.63</v>
      </c>
      <c r="AB35" s="94">
        <v>1236300</v>
      </c>
      <c r="AC35" s="240">
        <v>47.63</v>
      </c>
      <c r="AD35" s="2">
        <f t="shared" si="0"/>
        <v>0.89999999999999858</v>
      </c>
      <c r="AE35" s="135">
        <f t="shared" si="1"/>
        <v>-6.0517529215359245E-3</v>
      </c>
    </row>
    <row r="36" spans="1:31" x14ac:dyDescent="0.25">
      <c r="W36" s="93">
        <v>42781</v>
      </c>
      <c r="X36" s="360">
        <v>47.66</v>
      </c>
      <c r="Y36" s="40">
        <v>48.12</v>
      </c>
      <c r="Z36" s="40">
        <v>47.01</v>
      </c>
      <c r="AA36" s="360">
        <v>47.92</v>
      </c>
      <c r="AB36" s="94">
        <v>1463000</v>
      </c>
      <c r="AC36" s="240">
        <v>47.92</v>
      </c>
      <c r="AD36" s="2">
        <f t="shared" si="0"/>
        <v>1.1099999999999994</v>
      </c>
      <c r="AE36" s="135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3">
        <v>42780</v>
      </c>
      <c r="X37" s="360">
        <v>47.82</v>
      </c>
      <c r="Y37" s="40">
        <v>47.97</v>
      </c>
      <c r="Z37" s="40">
        <v>47.58</v>
      </c>
      <c r="AA37" s="360">
        <v>47.77</v>
      </c>
      <c r="AB37" s="94">
        <v>1048700</v>
      </c>
      <c r="AC37" s="240">
        <v>47.77</v>
      </c>
      <c r="AD37" s="2">
        <f t="shared" si="0"/>
        <v>0.39000000000000057</v>
      </c>
      <c r="AE37" s="135">
        <f t="shared" si="1"/>
        <v>-2.088991017338504E-3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42779</v>
      </c>
      <c r="X38" s="360">
        <v>48.02</v>
      </c>
      <c r="Y38" s="40">
        <v>48.1</v>
      </c>
      <c r="Z38" s="40">
        <v>47.56</v>
      </c>
      <c r="AA38" s="360">
        <v>47.87</v>
      </c>
      <c r="AB38" s="94">
        <v>1449900</v>
      </c>
      <c r="AC38" s="240">
        <v>47.87</v>
      </c>
      <c r="AD38" s="2">
        <f t="shared" si="0"/>
        <v>0.53999999999999915</v>
      </c>
      <c r="AE38" s="135">
        <f t="shared" si="1"/>
        <v>1.4644351464434546E-3</v>
      </c>
    </row>
    <row r="39" spans="1:31" ht="20.25" thickBot="1" x14ac:dyDescent="0.35">
      <c r="A39" s="262" t="s">
        <v>275</v>
      </c>
      <c r="B39" s="263">
        <v>42621</v>
      </c>
      <c r="C39" s="258">
        <v>50</v>
      </c>
      <c r="D39" s="259">
        <v>34.68</v>
      </c>
      <c r="E39" s="259">
        <v>0</v>
      </c>
      <c r="F39" s="259">
        <f>D39*C39+E39</f>
        <v>1734</v>
      </c>
      <c r="G39" s="263">
        <v>42663</v>
      </c>
      <c r="H39" s="264">
        <v>50</v>
      </c>
      <c r="I39" s="259">
        <v>38.54</v>
      </c>
      <c r="J39" s="259">
        <v>0.04</v>
      </c>
      <c r="K39" s="259">
        <f>H39*I39-J39</f>
        <v>1926.96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360">
        <v>48.43</v>
      </c>
      <c r="Y39" s="40">
        <v>48.91</v>
      </c>
      <c r="Z39" s="40">
        <v>47.54</v>
      </c>
      <c r="AA39" s="360">
        <v>47.8</v>
      </c>
      <c r="AB39" s="94">
        <v>1611000</v>
      </c>
      <c r="AC39" s="240">
        <v>47.8</v>
      </c>
      <c r="AD39" s="2">
        <f t="shared" si="0"/>
        <v>1.3699999999999974</v>
      </c>
      <c r="AE39" s="135">
        <f t="shared" si="1"/>
        <v>-5.4099042863089419E-3</v>
      </c>
    </row>
    <row r="40" spans="1:31" ht="15.75" thickTop="1" x14ac:dyDescent="0.25">
      <c r="A40" s="265" t="s">
        <v>71</v>
      </c>
      <c r="B40" s="263">
        <v>42670</v>
      </c>
      <c r="C40" s="258">
        <v>50</v>
      </c>
      <c r="D40" s="259">
        <v>36.58</v>
      </c>
      <c r="E40" s="259">
        <v>0</v>
      </c>
      <c r="F40" s="259">
        <f>C40*D40+E40</f>
        <v>1829</v>
      </c>
      <c r="G40" s="263">
        <v>42710</v>
      </c>
      <c r="H40" s="264">
        <v>50</v>
      </c>
      <c r="I40" s="259">
        <v>41.28</v>
      </c>
      <c r="J40" s="259">
        <v>0.04</v>
      </c>
      <c r="K40" s="259">
        <f>H40*I40-J40</f>
        <v>2063.96</v>
      </c>
      <c r="L40" s="258"/>
      <c r="M40" s="258"/>
      <c r="O40" s="2"/>
      <c r="P40" s="82">
        <v>1.1000000000000001</v>
      </c>
      <c r="Q40" s="82">
        <f>P40*$Q$4</f>
        <v>63.195000000000007</v>
      </c>
      <c r="R40" s="34"/>
      <c r="T40" s="96" t="s">
        <v>97</v>
      </c>
      <c r="U40" s="127">
        <v>49.76</v>
      </c>
      <c r="W40" s="93">
        <v>42775</v>
      </c>
      <c r="X40" s="360">
        <v>47.81</v>
      </c>
      <c r="Y40" s="40">
        <v>48.31</v>
      </c>
      <c r="Z40" s="40">
        <v>47.7</v>
      </c>
      <c r="AA40" s="360">
        <v>48.06</v>
      </c>
      <c r="AB40" s="94">
        <v>1249200</v>
      </c>
      <c r="AC40" s="240">
        <v>48.06</v>
      </c>
      <c r="AD40" s="2">
        <f t="shared" si="0"/>
        <v>0.60999999999999943</v>
      </c>
      <c r="AE40" s="135">
        <f t="shared" si="1"/>
        <v>4.1788549937318287E-3</v>
      </c>
    </row>
    <row r="41" spans="1:31" x14ac:dyDescent="0.25">
      <c r="A41" s="258"/>
      <c r="B41" s="263"/>
      <c r="C41" s="258"/>
      <c r="D41" s="259"/>
      <c r="E41" s="259"/>
      <c r="F41" s="259"/>
      <c r="G41" s="263"/>
      <c r="H41" s="264"/>
      <c r="I41" s="259"/>
      <c r="J41" s="259"/>
      <c r="K41" s="259"/>
      <c r="L41" s="258"/>
      <c r="M41" s="258"/>
      <c r="O41" s="2"/>
      <c r="P41" s="82">
        <v>1.0900000000000001</v>
      </c>
      <c r="Q41" s="82">
        <f t="shared" ref="Q41:Q60" si="5">P41*$Q$4</f>
        <v>62.620500000000007</v>
      </c>
      <c r="R41" s="34"/>
      <c r="T41" s="86" t="s">
        <v>98</v>
      </c>
      <c r="U41" s="128">
        <v>49.93</v>
      </c>
      <c r="W41" s="93">
        <v>42774</v>
      </c>
      <c r="X41" s="360">
        <v>47.88</v>
      </c>
      <c r="Y41" s="40">
        <v>48.14</v>
      </c>
      <c r="Z41" s="40">
        <v>47.51</v>
      </c>
      <c r="AA41" s="360">
        <v>47.86</v>
      </c>
      <c r="AB41" s="94">
        <v>1065800</v>
      </c>
      <c r="AC41" s="240">
        <v>47.86</v>
      </c>
      <c r="AD41" s="2">
        <f t="shared" si="0"/>
        <v>0.63000000000000256</v>
      </c>
      <c r="AE41" s="135">
        <f t="shared" si="1"/>
        <v>3.3542976939202607E-3</v>
      </c>
    </row>
    <row r="42" spans="1:31" x14ac:dyDescent="0.25">
      <c r="A42" s="258"/>
      <c r="B42" s="263"/>
      <c r="C42" s="258"/>
      <c r="D42" s="259"/>
      <c r="E42" s="259"/>
      <c r="F42" s="259"/>
      <c r="G42" s="263"/>
      <c r="H42" s="264"/>
      <c r="I42" s="259"/>
      <c r="J42" s="259"/>
      <c r="K42" s="259"/>
      <c r="L42" s="258"/>
      <c r="M42" s="258"/>
      <c r="O42" s="2"/>
      <c r="P42" s="82">
        <v>1.08</v>
      </c>
      <c r="Q42" s="82">
        <f t="shared" si="5"/>
        <v>62.046000000000006</v>
      </c>
      <c r="R42" s="34"/>
      <c r="T42" s="86" t="s">
        <v>99</v>
      </c>
      <c r="U42" s="128" t="s">
        <v>672</v>
      </c>
      <c r="W42" s="93">
        <v>42773</v>
      </c>
      <c r="X42" s="360">
        <v>47.58</v>
      </c>
      <c r="Y42" s="40">
        <v>48.09</v>
      </c>
      <c r="Z42" s="40">
        <v>47.47</v>
      </c>
      <c r="AA42" s="360">
        <v>47.7</v>
      </c>
      <c r="AB42" s="94">
        <v>1477200</v>
      </c>
      <c r="AC42" s="240">
        <v>47.7</v>
      </c>
      <c r="AD42" s="2">
        <f t="shared" si="0"/>
        <v>0.62000000000000455</v>
      </c>
      <c r="AE42" s="135">
        <f t="shared" si="1"/>
        <v>3.7878787878786735E-3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61.471500000000006</v>
      </c>
      <c r="R43" s="82"/>
      <c r="T43" s="86" t="s">
        <v>100</v>
      </c>
      <c r="U43" s="128" t="s">
        <v>673</v>
      </c>
      <c r="W43" s="93">
        <v>42772</v>
      </c>
      <c r="X43" s="360">
        <v>47.76</v>
      </c>
      <c r="Y43" s="40">
        <v>48.02</v>
      </c>
      <c r="Z43" s="40">
        <v>47.28</v>
      </c>
      <c r="AA43" s="360">
        <v>47.52</v>
      </c>
      <c r="AB43" s="94">
        <v>1139100</v>
      </c>
      <c r="AC43" s="240">
        <v>47.52</v>
      </c>
      <c r="AD43" s="2">
        <f t="shared" si="0"/>
        <v>0.74000000000000199</v>
      </c>
      <c r="AE43" s="135">
        <f t="shared" si="1"/>
        <v>-4.6082949308755561E-3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60.897000000000006</v>
      </c>
      <c r="R44" s="82"/>
      <c r="T44" s="86" t="s">
        <v>101</v>
      </c>
      <c r="U44" s="128">
        <v>54.65</v>
      </c>
      <c r="W44" s="93">
        <v>42769</v>
      </c>
      <c r="X44" s="360">
        <v>48.13</v>
      </c>
      <c r="Y44" s="40">
        <v>48.36</v>
      </c>
      <c r="Z44" s="40">
        <v>47.41</v>
      </c>
      <c r="AA44" s="360">
        <v>47.74</v>
      </c>
      <c r="AB44" s="94">
        <v>760800</v>
      </c>
      <c r="AC44" s="240">
        <v>47.74</v>
      </c>
      <c r="AD44" s="2">
        <f t="shared" si="0"/>
        <v>0.95000000000000284</v>
      </c>
      <c r="AE44" s="135">
        <f t="shared" si="1"/>
        <v>1.6785564414605325E-3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60.322500000000005</v>
      </c>
      <c r="R45" s="82"/>
      <c r="T45" s="86" t="s">
        <v>102</v>
      </c>
      <c r="U45" s="128">
        <v>1.56863</v>
      </c>
      <c r="W45" s="93">
        <v>42768</v>
      </c>
      <c r="X45" s="360">
        <v>48.17</v>
      </c>
      <c r="Y45" s="40">
        <v>48.5</v>
      </c>
      <c r="Z45" s="40">
        <v>47.55</v>
      </c>
      <c r="AA45" s="360">
        <v>47.66</v>
      </c>
      <c r="AB45" s="94">
        <v>694700</v>
      </c>
      <c r="AC45" s="240">
        <v>47.66</v>
      </c>
      <c r="AD45" s="2">
        <f t="shared" si="0"/>
        <v>0.95000000000000284</v>
      </c>
      <c r="AE45" s="135">
        <f t="shared" si="1"/>
        <v>-8.7354409317803583E-3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59.748000000000005</v>
      </c>
      <c r="R46" s="82"/>
      <c r="T46" s="86" t="s">
        <v>121</v>
      </c>
      <c r="U46" s="229" t="s">
        <v>443</v>
      </c>
      <c r="W46" s="93">
        <v>42767</v>
      </c>
      <c r="X46" s="360">
        <v>47.3</v>
      </c>
      <c r="Y46" s="40">
        <v>48.45</v>
      </c>
      <c r="Z46" s="40">
        <v>46.83</v>
      </c>
      <c r="AA46" s="360">
        <v>48.08</v>
      </c>
      <c r="AB46" s="94">
        <v>1288500</v>
      </c>
      <c r="AC46" s="240">
        <v>48.08</v>
      </c>
      <c r="AD46" s="2">
        <f t="shared" si="0"/>
        <v>1.6200000000000045</v>
      </c>
      <c r="AE46" s="135">
        <f t="shared" si="1"/>
        <v>2.297872340425533E-2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59.173500000000004</v>
      </c>
      <c r="R47" s="82"/>
      <c r="T47" s="86"/>
      <c r="U47" s="128"/>
      <c r="W47" s="93">
        <v>42766</v>
      </c>
      <c r="X47" s="360">
        <v>47.88</v>
      </c>
      <c r="Y47" s="40">
        <v>48.11</v>
      </c>
      <c r="Z47" s="40">
        <v>46.83</v>
      </c>
      <c r="AA47" s="360">
        <v>47</v>
      </c>
      <c r="AB47" s="94">
        <v>1625200</v>
      </c>
      <c r="AC47" s="240">
        <v>47</v>
      </c>
      <c r="AD47" s="2">
        <f t="shared" si="0"/>
        <v>1.2800000000000011</v>
      </c>
      <c r="AE47" s="135">
        <f t="shared" si="1"/>
        <v>-2.1444930251925953E-2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58.599000000000004</v>
      </c>
      <c r="R48" s="82"/>
      <c r="T48" s="86" t="s">
        <v>104</v>
      </c>
      <c r="U48" s="128" t="s">
        <v>674</v>
      </c>
      <c r="W48" s="93">
        <v>42765</v>
      </c>
      <c r="X48" s="360">
        <v>48.8</v>
      </c>
      <c r="Y48" s="40">
        <v>48.88</v>
      </c>
      <c r="Z48" s="40">
        <v>47.94</v>
      </c>
      <c r="AA48" s="360">
        <v>48.03</v>
      </c>
      <c r="AB48" s="94">
        <v>1323500</v>
      </c>
      <c r="AC48" s="240">
        <v>48.03</v>
      </c>
      <c r="AD48" s="2">
        <f t="shared" si="0"/>
        <v>0.94000000000000483</v>
      </c>
      <c r="AE48" s="135">
        <f t="shared" si="1"/>
        <v>-2.0195838433292534E-2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58.024500000000003</v>
      </c>
      <c r="R49" s="82"/>
      <c r="T49" s="86" t="s">
        <v>105</v>
      </c>
      <c r="U49" s="128" t="s">
        <v>587</v>
      </c>
      <c r="W49" s="93">
        <v>42762</v>
      </c>
      <c r="X49" s="360">
        <v>49.35</v>
      </c>
      <c r="Y49" s="40">
        <v>49.56</v>
      </c>
      <c r="Z49" s="40">
        <v>48.61</v>
      </c>
      <c r="AA49" s="360">
        <v>49.02</v>
      </c>
      <c r="AB49" s="94">
        <v>945300</v>
      </c>
      <c r="AC49" s="240">
        <v>49.02</v>
      </c>
      <c r="AD49" s="2">
        <f t="shared" si="0"/>
        <v>0.95000000000000284</v>
      </c>
      <c r="AE49" s="135">
        <f t="shared" si="1"/>
        <v>-6.284208392458801E-3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57.45</v>
      </c>
      <c r="R50" s="82"/>
      <c r="T50" s="86" t="s">
        <v>106</v>
      </c>
      <c r="U50" s="129">
        <v>1141622</v>
      </c>
      <c r="W50" s="93">
        <v>42761</v>
      </c>
      <c r="X50" s="360">
        <v>49.22</v>
      </c>
      <c r="Y50" s="40">
        <v>50.05</v>
      </c>
      <c r="Z50" s="40">
        <v>48.77</v>
      </c>
      <c r="AA50" s="360">
        <v>49.33</v>
      </c>
      <c r="AB50" s="94">
        <v>2613500</v>
      </c>
      <c r="AC50" s="240">
        <v>49.33</v>
      </c>
      <c r="AD50" s="2">
        <f t="shared" si="0"/>
        <v>1.279999999999994</v>
      </c>
      <c r="AE50" s="135">
        <f t="shared" si="1"/>
        <v>2.5784986483676331E-2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56.875500000000002</v>
      </c>
      <c r="R51" s="82"/>
      <c r="T51" s="86" t="s">
        <v>109</v>
      </c>
      <c r="U51" s="129">
        <v>1194830</v>
      </c>
      <c r="W51" s="93">
        <v>42760</v>
      </c>
      <c r="X51" s="360">
        <v>47.22</v>
      </c>
      <c r="Y51" s="40">
        <v>48.24</v>
      </c>
      <c r="Z51" s="40">
        <v>46.96</v>
      </c>
      <c r="AA51" s="360">
        <v>48.09</v>
      </c>
      <c r="AB51" s="94">
        <v>1275800</v>
      </c>
      <c r="AC51" s="240">
        <v>48.09</v>
      </c>
      <c r="AD51" s="2">
        <f t="shared" si="0"/>
        <v>1.2800000000000011</v>
      </c>
      <c r="AE51" s="135">
        <f t="shared" si="1"/>
        <v>2.6686592655849717E-2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56.301000000000002</v>
      </c>
      <c r="R52" s="82"/>
      <c r="T52" s="86" t="s">
        <v>107</v>
      </c>
      <c r="U52" s="128" t="s">
        <v>675</v>
      </c>
      <c r="W52" s="93">
        <v>42759</v>
      </c>
      <c r="X52" s="360">
        <v>45.92</v>
      </c>
      <c r="Y52" s="40">
        <v>46.95</v>
      </c>
      <c r="Z52" s="40">
        <v>45.83</v>
      </c>
      <c r="AA52" s="360">
        <v>46.84</v>
      </c>
      <c r="AB52" s="94">
        <v>1239400</v>
      </c>
      <c r="AC52" s="240">
        <v>46.84</v>
      </c>
      <c r="AD52" s="2">
        <f t="shared" si="0"/>
        <v>1.1200000000000045</v>
      </c>
      <c r="AE52" s="135">
        <f t="shared" si="1"/>
        <v>1.8260869565217552E-2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55.726500000000001</v>
      </c>
      <c r="R53" s="82"/>
      <c r="T53" s="86" t="s">
        <v>110</v>
      </c>
      <c r="U53" s="128">
        <v>17.91</v>
      </c>
      <c r="W53" s="93">
        <v>42758</v>
      </c>
      <c r="X53" s="360">
        <v>45.47</v>
      </c>
      <c r="Y53" s="40">
        <v>46.15</v>
      </c>
      <c r="Z53" s="40">
        <v>45.15</v>
      </c>
      <c r="AA53" s="360">
        <v>46</v>
      </c>
      <c r="AB53" s="94">
        <v>826800</v>
      </c>
      <c r="AC53" s="240">
        <v>46</v>
      </c>
      <c r="AD53" s="2">
        <f t="shared" si="0"/>
        <v>1</v>
      </c>
      <c r="AE53" s="135">
        <f t="shared" si="1"/>
        <v>8.1087004163926668E-3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55.152000000000001</v>
      </c>
      <c r="R54" s="82"/>
      <c r="T54" s="86" t="s">
        <v>111</v>
      </c>
      <c r="U54" s="128">
        <v>2.78</v>
      </c>
      <c r="W54" s="93">
        <v>42755</v>
      </c>
      <c r="X54" s="360">
        <v>45.93</v>
      </c>
      <c r="Y54" s="40">
        <v>46.41</v>
      </c>
      <c r="Z54" s="40">
        <v>45.41</v>
      </c>
      <c r="AA54" s="360">
        <v>45.63</v>
      </c>
      <c r="AB54" s="94">
        <v>736000</v>
      </c>
      <c r="AC54" s="240">
        <v>45.63</v>
      </c>
      <c r="AD54" s="2">
        <f t="shared" si="0"/>
        <v>1</v>
      </c>
      <c r="AE54" s="135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54.577500000000001</v>
      </c>
      <c r="R55" s="82"/>
      <c r="T55" s="86" t="s">
        <v>108</v>
      </c>
      <c r="U55" s="128" t="s">
        <v>122</v>
      </c>
      <c r="W55" s="93">
        <v>42754</v>
      </c>
      <c r="X55" s="360">
        <v>45.76</v>
      </c>
      <c r="Y55" s="40">
        <v>46.36</v>
      </c>
      <c r="Z55" s="40">
        <v>45.39</v>
      </c>
      <c r="AA55" s="360">
        <v>45.62</v>
      </c>
      <c r="AB55" s="94">
        <v>1031300</v>
      </c>
      <c r="AC55" s="240">
        <v>45.62</v>
      </c>
      <c r="AD55" s="2">
        <f t="shared" si="0"/>
        <v>0.96999999999999886</v>
      </c>
      <c r="AE55" s="135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54.003</v>
      </c>
      <c r="R56" s="82"/>
      <c r="W56" s="93">
        <v>42753</v>
      </c>
      <c r="X56" s="360">
        <v>44.97</v>
      </c>
      <c r="Y56" s="40">
        <v>45.77</v>
      </c>
      <c r="Z56" s="40">
        <v>44.56</v>
      </c>
      <c r="AA56" s="360">
        <v>45.67</v>
      </c>
      <c r="AB56" s="94">
        <v>943000</v>
      </c>
      <c r="AC56" s="240">
        <v>45.67</v>
      </c>
      <c r="AD56" s="2">
        <f t="shared" si="0"/>
        <v>1.2100000000000009</v>
      </c>
      <c r="AE56" s="135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53.428500000000007</v>
      </c>
      <c r="R57" s="82"/>
      <c r="W57" s="93">
        <v>42752</v>
      </c>
      <c r="X57" s="360">
        <v>45.08</v>
      </c>
      <c r="Y57" s="40">
        <v>45.22</v>
      </c>
      <c r="Z57" s="40">
        <v>44.2</v>
      </c>
      <c r="AA57" s="360">
        <v>44.74</v>
      </c>
      <c r="AB57" s="94">
        <v>905400</v>
      </c>
      <c r="AC57" s="240">
        <v>44.74</v>
      </c>
      <c r="AD57" s="2">
        <f t="shared" si="0"/>
        <v>1.019999999999996</v>
      </c>
      <c r="AE57" s="135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52.854000000000006</v>
      </c>
      <c r="R58" s="82"/>
      <c r="W58" s="93">
        <v>42748</v>
      </c>
      <c r="X58" s="360">
        <v>45.49</v>
      </c>
      <c r="Y58" s="40">
        <v>45.49</v>
      </c>
      <c r="Z58" s="40">
        <v>44.84</v>
      </c>
      <c r="AA58" s="360">
        <v>44.95</v>
      </c>
      <c r="AB58" s="94">
        <v>547700</v>
      </c>
      <c r="AC58" s="240">
        <v>44.95</v>
      </c>
      <c r="AD58" s="2">
        <f t="shared" si="0"/>
        <v>0.64999999999999858</v>
      </c>
      <c r="AE58" s="135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52.279500000000006</v>
      </c>
      <c r="R59" s="82"/>
      <c r="W59" s="93">
        <v>42747</v>
      </c>
      <c r="X59" s="360">
        <v>45.47</v>
      </c>
      <c r="Y59" s="40">
        <v>45.83</v>
      </c>
      <c r="Z59" s="40">
        <v>44.67</v>
      </c>
      <c r="AA59" s="360">
        <v>45.35</v>
      </c>
      <c r="AB59" s="94">
        <v>731500</v>
      </c>
      <c r="AC59" s="240">
        <v>45.35</v>
      </c>
      <c r="AD59" s="2">
        <f t="shared" si="0"/>
        <v>1.1599999999999966</v>
      </c>
      <c r="AE59" s="135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51.705000000000005</v>
      </c>
      <c r="R60" s="82"/>
      <c r="W60" s="93">
        <v>42746</v>
      </c>
      <c r="X60" s="360">
        <v>45.01</v>
      </c>
      <c r="Y60" s="40">
        <v>45.82</v>
      </c>
      <c r="Z60" s="40">
        <v>44.72</v>
      </c>
      <c r="AA60" s="360">
        <v>45.75</v>
      </c>
      <c r="AB60" s="94">
        <v>870500</v>
      </c>
      <c r="AC60" s="240">
        <v>45.75</v>
      </c>
      <c r="AD60" s="2">
        <f t="shared" si="0"/>
        <v>1.1000000000000014</v>
      </c>
      <c r="AE60" s="135">
        <f t="shared" si="1"/>
        <v>1.1720477664750151E-2</v>
      </c>
    </row>
    <row r="61" spans="1:31" x14ac:dyDescent="0.25">
      <c r="W61" s="93">
        <v>42745</v>
      </c>
      <c r="X61" s="360">
        <v>44.33</v>
      </c>
      <c r="Y61" s="40">
        <v>45.36</v>
      </c>
      <c r="Z61" s="40">
        <v>44.33</v>
      </c>
      <c r="AA61" s="360">
        <v>45.22</v>
      </c>
      <c r="AB61" s="94">
        <v>1065500</v>
      </c>
      <c r="AC61" s="240">
        <v>45.22</v>
      </c>
      <c r="AD61" s="2">
        <f t="shared" si="0"/>
        <v>1.0300000000000011</v>
      </c>
      <c r="AE61" s="135">
        <f t="shared" si="1"/>
        <v>1.8697904933543619E-2</v>
      </c>
    </row>
    <row r="62" spans="1:31" x14ac:dyDescent="0.25">
      <c r="W62" s="93">
        <v>42744</v>
      </c>
      <c r="X62" s="360">
        <v>44.14</v>
      </c>
      <c r="Y62" s="40">
        <v>44.7</v>
      </c>
      <c r="Z62" s="40">
        <v>43.9</v>
      </c>
      <c r="AA62" s="360">
        <v>44.39</v>
      </c>
      <c r="AB62" s="94">
        <v>855800</v>
      </c>
      <c r="AC62" s="240">
        <v>44.39</v>
      </c>
      <c r="AD62" s="2">
        <f t="shared" si="0"/>
        <v>0.80000000000000426</v>
      </c>
      <c r="AE62" s="135">
        <f t="shared" si="1"/>
        <v>3.1638418079096287E-3</v>
      </c>
    </row>
    <row r="63" spans="1:31" x14ac:dyDescent="0.25">
      <c r="W63" s="93">
        <v>42741</v>
      </c>
      <c r="X63" s="360">
        <v>44.75</v>
      </c>
      <c r="Y63" s="40">
        <v>44.92</v>
      </c>
      <c r="Z63" s="40">
        <v>44.06</v>
      </c>
      <c r="AA63" s="360">
        <v>44.25</v>
      </c>
      <c r="AB63" s="94">
        <v>932900</v>
      </c>
      <c r="AC63" s="240">
        <v>44.25</v>
      </c>
      <c r="AD63" s="2">
        <f t="shared" si="0"/>
        <v>0.85999999999999943</v>
      </c>
      <c r="AE63" s="135">
        <f t="shared" si="1"/>
        <v>-6.7340067340067034E-3</v>
      </c>
    </row>
    <row r="64" spans="1:31" x14ac:dyDescent="0.25">
      <c r="W64" s="93">
        <v>42740</v>
      </c>
      <c r="X64" s="360">
        <v>44.51</v>
      </c>
      <c r="Y64" s="40">
        <v>44.79</v>
      </c>
      <c r="Z64" s="40">
        <v>44.02</v>
      </c>
      <c r="AA64" s="360">
        <v>44.55</v>
      </c>
      <c r="AB64" s="94">
        <v>933700</v>
      </c>
      <c r="AC64" s="240">
        <v>44.55</v>
      </c>
      <c r="AD64" s="2">
        <f t="shared" si="0"/>
        <v>0.76999999999999602</v>
      </c>
      <c r="AE64" s="135">
        <f t="shared" si="1"/>
        <v>-4.9140049140050657E-3</v>
      </c>
    </row>
    <row r="65" spans="23:31" x14ac:dyDescent="0.25">
      <c r="W65" s="93">
        <v>42739</v>
      </c>
      <c r="X65" s="360">
        <v>43.1</v>
      </c>
      <c r="Y65" s="40">
        <v>44.89</v>
      </c>
      <c r="Z65" s="40">
        <v>42.78</v>
      </c>
      <c r="AA65" s="360">
        <v>44.77</v>
      </c>
      <c r="AB65" s="94">
        <v>1852500</v>
      </c>
      <c r="AC65" s="240">
        <v>44.77</v>
      </c>
      <c r="AD65" s="2">
        <f t="shared" si="0"/>
        <v>2.1099999999999994</v>
      </c>
      <c r="AE65" s="135">
        <f t="shared" si="1"/>
        <v>4.6272493573264795E-2</v>
      </c>
    </row>
    <row r="66" spans="23:31" x14ac:dyDescent="0.25">
      <c r="W66" s="93">
        <v>42738</v>
      </c>
      <c r="X66" s="360">
        <v>43.13</v>
      </c>
      <c r="Y66" s="40">
        <v>43.87</v>
      </c>
      <c r="Z66" s="40">
        <v>42.64</v>
      </c>
      <c r="AA66" s="360">
        <v>42.79</v>
      </c>
      <c r="AB66" s="94">
        <v>1618500</v>
      </c>
      <c r="AC66" s="240">
        <v>42.79</v>
      </c>
      <c r="AD66" s="2">
        <f t="shared" si="0"/>
        <v>1.2299999999999969</v>
      </c>
      <c r="AE66" s="135">
        <f t="shared" si="1"/>
        <v>6.1133317658124131E-3</v>
      </c>
    </row>
    <row r="67" spans="23:31" x14ac:dyDescent="0.25">
      <c r="W67" s="93">
        <v>42734</v>
      </c>
      <c r="X67" s="360">
        <v>42.62</v>
      </c>
      <c r="Y67" s="40">
        <v>42.97</v>
      </c>
      <c r="Z67" s="40">
        <v>42.1</v>
      </c>
      <c r="AA67" s="360">
        <v>42.53</v>
      </c>
      <c r="AB67" s="94">
        <v>856900</v>
      </c>
      <c r="AC67" s="240">
        <v>42.53</v>
      </c>
      <c r="AD67" s="2">
        <f t="shared" si="0"/>
        <v>0.86999999999999744</v>
      </c>
      <c r="AE67" s="135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0"/>
      <c r="AD68" s="2">
        <f>Y68-Z68</f>
        <v>0</v>
      </c>
      <c r="AE68" s="135" t="e">
        <f>AC68/AC69-1</f>
        <v>#DIV/0!</v>
      </c>
    </row>
    <row r="69" spans="23:31" x14ac:dyDescent="0.25">
      <c r="W69" s="212"/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0" priority="17">
      <formula>F28&gt;0</formula>
    </cfRule>
    <cfRule type="expression" dxfId="579" priority="18">
      <formula>F28&lt;0</formula>
    </cfRule>
  </conditionalFormatting>
  <conditionalFormatting sqref="F28 F33:F35">
    <cfRule type="expression" dxfId="578" priority="19">
      <formula>F28&gt;0</formula>
    </cfRule>
    <cfRule type="expression" dxfId="577" priority="20">
      <formula>F28&lt;0</formula>
    </cfRule>
  </conditionalFormatting>
  <conditionalFormatting sqref="H28 H33:H35">
    <cfRule type="expression" dxfId="576" priority="15">
      <formula>H28&gt;0</formula>
    </cfRule>
    <cfRule type="expression" dxfId="575" priority="16">
      <formula>H28&lt;0</formula>
    </cfRule>
  </conditionalFormatting>
  <conditionalFormatting sqref="F21:F27">
    <cfRule type="expression" dxfId="574" priority="13">
      <formula>F21&gt;0</formula>
    </cfRule>
    <cfRule type="expression" dxfId="573" priority="14">
      <formula>F21&lt;0</formula>
    </cfRule>
  </conditionalFormatting>
  <conditionalFormatting sqref="H21:H27">
    <cfRule type="expression" dxfId="572" priority="11">
      <formula>H21&gt;0</formula>
    </cfRule>
    <cfRule type="expression" dxfId="571" priority="12">
      <formula>H21&lt;0</formula>
    </cfRule>
  </conditionalFormatting>
  <conditionalFormatting sqref="Q8">
    <cfRule type="expression" dxfId="570" priority="7">
      <formula>Q8&gt;0</formula>
    </cfRule>
    <cfRule type="expression" dxfId="569" priority="8">
      <formula>Q8&lt;0</formula>
    </cfRule>
  </conditionalFormatting>
  <conditionalFormatting sqref="Q7">
    <cfRule type="expression" dxfId="568" priority="9">
      <formula>Q7&gt;0</formula>
    </cfRule>
    <cfRule type="expression" dxfId="567" priority="10">
      <formula>Q7&lt;0</formula>
    </cfRule>
  </conditionalFormatting>
  <conditionalFormatting sqref="F29:F32">
    <cfRule type="expression" dxfId="566" priority="5">
      <formula>F29&gt;0</formula>
    </cfRule>
    <cfRule type="expression" dxfId="565" priority="6">
      <formula>F29&lt;0</formula>
    </cfRule>
  </conditionalFormatting>
  <conditionalFormatting sqref="H29:H32">
    <cfRule type="expression" dxfId="564" priority="3">
      <formula>H29&gt;0</formula>
    </cfRule>
    <cfRule type="expression" dxfId="563" priority="4">
      <formula>H29&lt;0</formula>
    </cfRule>
  </conditionalFormatting>
  <conditionalFormatting sqref="M37">
    <cfRule type="expression" dxfId="562" priority="1">
      <formula>M37&gt;0</formula>
    </cfRule>
    <cfRule type="expression" dxfId="56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3"/>
      <c r="C2" s="4"/>
      <c r="D2" s="3"/>
      <c r="E2" s="3"/>
      <c r="F2" s="3"/>
      <c r="G2" s="73"/>
      <c r="H2" s="182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0">
        <v>236.26</v>
      </c>
      <c r="Y2" s="40">
        <v>237.39</v>
      </c>
      <c r="Z2" s="40">
        <v>234.54</v>
      </c>
      <c r="AA2" s="360">
        <v>234.78</v>
      </c>
      <c r="AB2" s="94">
        <v>103725600</v>
      </c>
      <c r="AC2" s="240">
        <v>234.78</v>
      </c>
      <c r="AD2" s="2">
        <f>Y2-Z2</f>
        <v>2.8499999999999943</v>
      </c>
      <c r="AE2" s="135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O3" s="11" t="s">
        <v>58</v>
      </c>
      <c r="Q3" s="79">
        <f>IF(Q2=0, Q4, (F18-K18-M18)/Q2)</f>
        <v>246.51</v>
      </c>
      <c r="T3" s="119"/>
      <c r="W3" s="93">
        <v>42829</v>
      </c>
      <c r="X3" s="360">
        <v>235</v>
      </c>
      <c r="Y3" s="40">
        <v>235.58</v>
      </c>
      <c r="Z3" s="40">
        <v>234.56</v>
      </c>
      <c r="AA3" s="360">
        <v>235.48</v>
      </c>
      <c r="AB3" s="94">
        <v>56466200</v>
      </c>
      <c r="AC3" s="240">
        <v>235.48</v>
      </c>
      <c r="AD3" s="2">
        <f>Y3-Z3</f>
        <v>1.0200000000000102</v>
      </c>
      <c r="AE3" s="135">
        <f>AC3/AC4-1</f>
        <v>6.3740279607360506E-4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O4" s="11" t="s">
        <v>66</v>
      </c>
      <c r="Q4" s="55">
        <v>246.51</v>
      </c>
      <c r="R4" s="497">
        <v>-1E-4</v>
      </c>
      <c r="T4" s="119"/>
      <c r="W4" s="93">
        <v>42828</v>
      </c>
      <c r="X4" s="360">
        <v>235.8</v>
      </c>
      <c r="Y4" s="40">
        <v>236.03</v>
      </c>
      <c r="Z4" s="40">
        <v>233.91</v>
      </c>
      <c r="AA4" s="360">
        <v>235.33</v>
      </c>
      <c r="AB4" s="94">
        <v>85546500</v>
      </c>
      <c r="AC4" s="240">
        <v>235.33</v>
      </c>
      <c r="AD4" s="2">
        <f t="shared" ref="AD4:AD67" si="0">Y4-Z4</f>
        <v>2.1200000000000045</v>
      </c>
      <c r="AE4" s="135">
        <f t="shared" ref="AE4:AE67" si="1">AC4/AC5-1</f>
        <v>-1.7392042080257575E-3</v>
      </c>
      <c r="AK4" s="231"/>
      <c r="AN4" s="231"/>
    </row>
    <row r="5" spans="1:40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0">
        <v>235.9</v>
      </c>
      <c r="Y5" s="40">
        <v>236.51</v>
      </c>
      <c r="Z5" s="40">
        <v>235.68</v>
      </c>
      <c r="AA5" s="360">
        <v>235.74</v>
      </c>
      <c r="AB5" s="94">
        <v>73733100</v>
      </c>
      <c r="AC5" s="240">
        <v>235.74</v>
      </c>
      <c r="AD5" s="2">
        <f t="shared" si="0"/>
        <v>0.82999999999998408</v>
      </c>
      <c r="AE5" s="135">
        <f t="shared" si="1"/>
        <v>-2.3276482288712153E-3</v>
      </c>
      <c r="AK5" s="231"/>
      <c r="AN5" s="231"/>
    </row>
    <row r="6" spans="1:40" x14ac:dyDescent="0.25">
      <c r="B6" s="4"/>
      <c r="C6" s="4"/>
      <c r="D6" s="3"/>
      <c r="E6" s="3"/>
      <c r="F6" s="3"/>
      <c r="G6" s="4"/>
      <c r="H6" s="182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0">
        <v>235.47</v>
      </c>
      <c r="Y6" s="40">
        <v>236.52</v>
      </c>
      <c r="Z6" s="40">
        <v>235.27</v>
      </c>
      <c r="AA6" s="360">
        <v>236.29</v>
      </c>
      <c r="AB6" s="94">
        <v>56737900</v>
      </c>
      <c r="AC6" s="240">
        <v>236.29</v>
      </c>
      <c r="AD6" s="2">
        <f t="shared" si="0"/>
        <v>1.25</v>
      </c>
      <c r="AE6" s="135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4"/>
      <c r="W7" s="93">
        <v>42823</v>
      </c>
      <c r="X7" s="360">
        <v>234.99</v>
      </c>
      <c r="Y7" s="40">
        <v>235.81</v>
      </c>
      <c r="Z7" s="40">
        <v>234.73</v>
      </c>
      <c r="AA7" s="360">
        <v>235.54</v>
      </c>
      <c r="AB7" s="94">
        <v>61950400</v>
      </c>
      <c r="AC7" s="240">
        <v>235.54</v>
      </c>
      <c r="AD7" s="2">
        <f t="shared" si="0"/>
        <v>1.0800000000000125</v>
      </c>
      <c r="AE7" s="135">
        <f t="shared" si="1"/>
        <v>9.3489716131234246E-4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3">
        <v>42822</v>
      </c>
      <c r="X8" s="360">
        <v>233.27</v>
      </c>
      <c r="Y8" s="40">
        <v>235.81</v>
      </c>
      <c r="Z8" s="40">
        <v>233.14</v>
      </c>
      <c r="AA8" s="360">
        <v>235.32</v>
      </c>
      <c r="AB8" s="94">
        <v>93483900</v>
      </c>
      <c r="AC8" s="240">
        <v>235.32</v>
      </c>
      <c r="AD8" s="2">
        <f t="shared" si="0"/>
        <v>2.6700000000000159</v>
      </c>
      <c r="AE8" s="135">
        <f t="shared" si="1"/>
        <v>7.276774248780038E-3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360">
        <v>231.93</v>
      </c>
      <c r="Y9" s="40">
        <v>233.92</v>
      </c>
      <c r="Z9" s="40">
        <v>231.61</v>
      </c>
      <c r="AA9" s="360">
        <v>233.62</v>
      </c>
      <c r="AB9" s="94">
        <v>87454500</v>
      </c>
      <c r="AC9" s="240">
        <v>233.62</v>
      </c>
      <c r="AD9" s="2">
        <f t="shared" si="0"/>
        <v>2.3099999999999739</v>
      </c>
      <c r="AE9" s="135">
        <f t="shared" si="1"/>
        <v>-1.0262550243735902E-3</v>
      </c>
      <c r="AK9" s="231"/>
      <c r="AN9" s="231"/>
    </row>
    <row r="10" spans="1:40" ht="12.75" customHeight="1" x14ac:dyDescent="0.25">
      <c r="O10" s="11" t="s">
        <v>210</v>
      </c>
      <c r="Q10" s="2">
        <f>M37</f>
        <v>160.82999999999993</v>
      </c>
      <c r="W10" s="93">
        <v>42818</v>
      </c>
      <c r="X10" s="360">
        <v>234.38</v>
      </c>
      <c r="Y10" s="40">
        <v>235.04</v>
      </c>
      <c r="Z10" s="40">
        <v>232.96</v>
      </c>
      <c r="AA10" s="360">
        <v>233.86</v>
      </c>
      <c r="AB10" s="94">
        <v>112504900</v>
      </c>
      <c r="AC10" s="240">
        <v>233.86</v>
      </c>
      <c r="AD10" s="2">
        <f t="shared" si="0"/>
        <v>2.0799999999999841</v>
      </c>
      <c r="AE10" s="135">
        <f t="shared" si="1"/>
        <v>-7.2640259795742068E-4</v>
      </c>
    </row>
    <row r="11" spans="1:40" x14ac:dyDescent="0.25">
      <c r="O11" s="11" t="s">
        <v>176</v>
      </c>
      <c r="Q11" s="135">
        <v>0</v>
      </c>
      <c r="W11" s="93">
        <v>42817</v>
      </c>
      <c r="X11" s="360">
        <v>234.28</v>
      </c>
      <c r="Y11" s="40">
        <v>235.34</v>
      </c>
      <c r="Z11" s="40">
        <v>233.6</v>
      </c>
      <c r="AA11" s="360">
        <v>234.03</v>
      </c>
      <c r="AB11" s="94">
        <v>100410300</v>
      </c>
      <c r="AC11" s="240">
        <v>234.03</v>
      </c>
      <c r="AD11" s="2">
        <f t="shared" si="0"/>
        <v>1.7400000000000091</v>
      </c>
      <c r="AE11" s="135">
        <f t="shared" si="1"/>
        <v>-1.0670991975414434E-3</v>
      </c>
      <c r="AK11" s="231"/>
      <c r="AN11" s="231"/>
    </row>
    <row r="12" spans="1:40" x14ac:dyDescent="0.25">
      <c r="W12" s="93">
        <v>42816</v>
      </c>
      <c r="X12" s="360">
        <v>233.77</v>
      </c>
      <c r="Y12" s="40">
        <v>234.61</v>
      </c>
      <c r="Z12" s="40">
        <v>233.05</v>
      </c>
      <c r="AA12" s="360">
        <v>234.28</v>
      </c>
      <c r="AB12" s="94">
        <v>97569200</v>
      </c>
      <c r="AC12" s="240">
        <v>234.28</v>
      </c>
      <c r="AD12" s="2">
        <f t="shared" si="0"/>
        <v>1.5600000000000023</v>
      </c>
      <c r="AE12" s="135">
        <f t="shared" si="1"/>
        <v>2.3531425148677343E-3</v>
      </c>
    </row>
    <row r="13" spans="1:40" x14ac:dyDescent="0.25">
      <c r="W13" s="93">
        <v>42815</v>
      </c>
      <c r="X13" s="360">
        <v>237.47</v>
      </c>
      <c r="Y13" s="40">
        <v>237.61</v>
      </c>
      <c r="Z13" s="40">
        <v>233.58</v>
      </c>
      <c r="AA13" s="360">
        <v>233.73</v>
      </c>
      <c r="AB13" s="94">
        <v>131809300</v>
      </c>
      <c r="AC13" s="240">
        <v>233.73</v>
      </c>
      <c r="AD13" s="2">
        <f t="shared" si="0"/>
        <v>4.0300000000000011</v>
      </c>
      <c r="AE13" s="135">
        <f t="shared" si="1"/>
        <v>-1.2839464459179828E-2</v>
      </c>
      <c r="AK13" s="231"/>
      <c r="AN13" s="231"/>
    </row>
    <row r="14" spans="1:40" x14ac:dyDescent="0.25">
      <c r="T14" s="83"/>
      <c r="U14" s="11"/>
      <c r="W14" s="93">
        <v>42814</v>
      </c>
      <c r="X14" s="360">
        <v>237.03</v>
      </c>
      <c r="Y14" s="40">
        <v>237.36</v>
      </c>
      <c r="Z14" s="40">
        <v>236.32</v>
      </c>
      <c r="AA14" s="360">
        <v>236.77</v>
      </c>
      <c r="AB14" s="94">
        <v>52537000</v>
      </c>
      <c r="AC14" s="240">
        <v>236.77</v>
      </c>
      <c r="AD14" s="2">
        <f t="shared" si="0"/>
        <v>1.0400000000000205</v>
      </c>
      <c r="AE14" s="135">
        <f t="shared" si="1"/>
        <v>-1.0969075644432502E-3</v>
      </c>
    </row>
    <row r="15" spans="1:40" x14ac:dyDescent="0.25">
      <c r="W15" s="93">
        <v>42811</v>
      </c>
      <c r="X15" s="360">
        <v>237.75</v>
      </c>
      <c r="Y15" s="40">
        <v>237.97</v>
      </c>
      <c r="Z15" s="40">
        <v>237.03</v>
      </c>
      <c r="AA15" s="360">
        <v>237.03</v>
      </c>
      <c r="AB15" s="94">
        <v>89002100</v>
      </c>
      <c r="AC15" s="240">
        <v>237.03</v>
      </c>
      <c r="AD15" s="2">
        <f t="shared" si="0"/>
        <v>0.93999999999999773</v>
      </c>
      <c r="AE15" s="135" t="e">
        <f t="shared" si="1"/>
        <v>#DIV/0!</v>
      </c>
      <c r="AK15" s="231"/>
      <c r="AN15" s="231"/>
    </row>
    <row r="16" spans="1:40" x14ac:dyDescent="0.25">
      <c r="W16" s="93">
        <v>42811</v>
      </c>
      <c r="X16" s="360" t="s">
        <v>544</v>
      </c>
      <c r="Y16" s="40"/>
      <c r="Z16" s="40"/>
      <c r="AA16" s="360"/>
      <c r="AB16" s="94"/>
      <c r="AC16" s="240"/>
      <c r="AD16" s="2">
        <f t="shared" si="0"/>
        <v>0</v>
      </c>
      <c r="AE16" s="135">
        <f t="shared" si="1"/>
        <v>-1</v>
      </c>
    </row>
    <row r="17" spans="1:40" x14ac:dyDescent="0.25">
      <c r="W17" s="93">
        <v>42810</v>
      </c>
      <c r="X17" s="360">
        <v>239.11</v>
      </c>
      <c r="Y17" s="40">
        <v>239.2</v>
      </c>
      <c r="Z17" s="40">
        <v>238.1</v>
      </c>
      <c r="AA17" s="360">
        <v>238.48</v>
      </c>
      <c r="AB17" s="94">
        <v>78344000</v>
      </c>
      <c r="AC17" s="240">
        <v>237.45</v>
      </c>
      <c r="AD17" s="2">
        <f t="shared" si="0"/>
        <v>1.0999999999999943</v>
      </c>
      <c r="AE17" s="135">
        <f t="shared" si="1"/>
        <v>-1.9335042663192192E-3</v>
      </c>
      <c r="AK17" s="231"/>
      <c r="AN17" s="231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0">
        <v>237.56</v>
      </c>
      <c r="Y18" s="40">
        <v>239.44</v>
      </c>
      <c r="Z18" s="40">
        <v>237.29</v>
      </c>
      <c r="AA18" s="360">
        <v>238.95</v>
      </c>
      <c r="AB18" s="94">
        <v>96081800</v>
      </c>
      <c r="AC18" s="240">
        <v>237.91</v>
      </c>
      <c r="AD18" s="2">
        <f t="shared" si="0"/>
        <v>2.1500000000000057</v>
      </c>
      <c r="AE18" s="135">
        <f t="shared" si="1"/>
        <v>8.6488319837199068E-3</v>
      </c>
    </row>
    <row r="19" spans="1:40" x14ac:dyDescent="0.25">
      <c r="W19" s="93">
        <v>42808</v>
      </c>
      <c r="X19" s="360">
        <v>237.18</v>
      </c>
      <c r="Y19" s="40">
        <v>237.24</v>
      </c>
      <c r="Z19" s="40">
        <v>236.19</v>
      </c>
      <c r="AA19" s="360">
        <v>236.9</v>
      </c>
      <c r="AB19" s="94">
        <v>59880800</v>
      </c>
      <c r="AC19" s="240">
        <v>235.87</v>
      </c>
      <c r="AD19" s="2">
        <f t="shared" si="0"/>
        <v>1.0500000000000114</v>
      </c>
      <c r="AE19" s="135">
        <f t="shared" si="1"/>
        <v>-3.8432300025339483E-3</v>
      </c>
      <c r="AK19" s="231"/>
      <c r="AN19" s="231"/>
    </row>
    <row r="20" spans="1:40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93">
        <v>42807</v>
      </c>
      <c r="X20" s="360">
        <v>237.62</v>
      </c>
      <c r="Y20" s="40">
        <v>237.86</v>
      </c>
      <c r="Z20" s="40">
        <v>237.24</v>
      </c>
      <c r="AA20" s="360">
        <v>237.81</v>
      </c>
      <c r="AB20" s="94">
        <v>57256800</v>
      </c>
      <c r="AC20" s="240">
        <v>236.78</v>
      </c>
      <c r="AD20" s="2">
        <f t="shared" si="0"/>
        <v>0.62000000000000455</v>
      </c>
      <c r="AE20" s="135">
        <f t="shared" si="1"/>
        <v>5.0705653680394036E-4</v>
      </c>
    </row>
    <row r="21" spans="1:40" x14ac:dyDescent="0.25">
      <c r="B21" s="19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8">
        <f>(E21-D21)/D21</f>
        <v>-5.0803525142561852E-3</v>
      </c>
      <c r="I21" s="40"/>
      <c r="W21" s="93">
        <v>42804</v>
      </c>
      <c r="X21" s="360">
        <v>237.97</v>
      </c>
      <c r="Y21" s="40">
        <v>238.02</v>
      </c>
      <c r="Z21" s="40">
        <v>236.59</v>
      </c>
      <c r="AA21" s="360">
        <v>237.69</v>
      </c>
      <c r="AB21" s="94">
        <v>81991700</v>
      </c>
      <c r="AC21" s="240">
        <v>236.66</v>
      </c>
      <c r="AD21" s="2">
        <f t="shared" si="0"/>
        <v>1.4300000000000068</v>
      </c>
      <c r="AE21" s="135">
        <f t="shared" si="1"/>
        <v>3.5194843743373561E-3</v>
      </c>
      <c r="AK21" s="231"/>
      <c r="AN21" s="231"/>
    </row>
    <row r="22" spans="1:40" x14ac:dyDescent="0.25">
      <c r="B22" s="19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8">
        <f t="shared" ref="H22:H28" si="4">(E22-D22)/D22</f>
        <v>-2.0179676332182071E-2</v>
      </c>
      <c r="I22" s="40"/>
      <c r="W22" s="93">
        <v>42803</v>
      </c>
      <c r="X22" s="360">
        <v>236.7</v>
      </c>
      <c r="Y22" s="40">
        <v>237.24</v>
      </c>
      <c r="Z22" s="40">
        <v>235.74</v>
      </c>
      <c r="AA22" s="360">
        <v>236.86</v>
      </c>
      <c r="AB22" s="94">
        <v>90683900</v>
      </c>
      <c r="AC22" s="240">
        <v>235.83</v>
      </c>
      <c r="AD22" s="2">
        <f t="shared" si="0"/>
        <v>1.5</v>
      </c>
      <c r="AE22" s="135">
        <f t="shared" si="1"/>
        <v>1.2312133820158166E-3</v>
      </c>
    </row>
    <row r="23" spans="1:40" x14ac:dyDescent="0.25">
      <c r="B23" s="19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8">
        <f t="shared" si="4"/>
        <v>1.2399746728577429E-2</v>
      </c>
      <c r="I23" s="40"/>
      <c r="W23" s="93">
        <v>42802</v>
      </c>
      <c r="X23" s="360">
        <v>237.34</v>
      </c>
      <c r="Y23" s="40">
        <v>237.64</v>
      </c>
      <c r="Z23" s="40">
        <v>236.4</v>
      </c>
      <c r="AA23" s="360">
        <v>236.56</v>
      </c>
      <c r="AB23" s="94">
        <v>78168800</v>
      </c>
      <c r="AC23" s="240">
        <v>235.54</v>
      </c>
      <c r="AD23" s="2">
        <f t="shared" si="0"/>
        <v>1.2399999999999807</v>
      </c>
      <c r="AE23" s="135">
        <f t="shared" si="1"/>
        <v>-1.8222655422299727E-3</v>
      </c>
      <c r="AK23" s="231"/>
    </row>
    <row r="24" spans="1:40" x14ac:dyDescent="0.25">
      <c r="B24" s="19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8">
        <f t="shared" si="4"/>
        <v>-2.2897397346876083E-3</v>
      </c>
      <c r="I24" s="40"/>
      <c r="W24" s="93">
        <v>42801</v>
      </c>
      <c r="X24" s="360">
        <v>237.36</v>
      </c>
      <c r="Y24" s="40">
        <v>237.77</v>
      </c>
      <c r="Z24" s="40">
        <v>236.76</v>
      </c>
      <c r="AA24" s="360">
        <v>237</v>
      </c>
      <c r="AB24" s="94">
        <v>65103700</v>
      </c>
      <c r="AC24" s="240">
        <v>235.97</v>
      </c>
      <c r="AD24" s="2">
        <f t="shared" si="0"/>
        <v>1.0100000000000193</v>
      </c>
      <c r="AE24" s="135">
        <f t="shared" si="1"/>
        <v>-2.9998309954368807E-3</v>
      </c>
    </row>
    <row r="25" spans="1:40" x14ac:dyDescent="0.25">
      <c r="B25" s="19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8">
        <f t="shared" si="4"/>
        <v>-1.0009888154930204E-2</v>
      </c>
      <c r="I25" s="40"/>
      <c r="W25" s="93">
        <v>42800</v>
      </c>
      <c r="X25" s="360">
        <v>237.5</v>
      </c>
      <c r="Y25" s="40">
        <v>238.12</v>
      </c>
      <c r="Z25" s="40">
        <v>237.01</v>
      </c>
      <c r="AA25" s="360">
        <v>237.71</v>
      </c>
      <c r="AB25" s="94">
        <v>55391500</v>
      </c>
      <c r="AC25" s="240">
        <v>236.68</v>
      </c>
      <c r="AD25" s="2">
        <f t="shared" si="0"/>
        <v>1.1100000000000136</v>
      </c>
      <c r="AE25" s="135">
        <f t="shared" si="1"/>
        <v>-2.9908589241331995E-3</v>
      </c>
    </row>
    <row r="26" spans="1:40" x14ac:dyDescent="0.25">
      <c r="B26" s="19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8">
        <f t="shared" si="4"/>
        <v>2.0355495338559317E-2</v>
      </c>
      <c r="I26" s="40"/>
      <c r="W26" s="93">
        <v>42797</v>
      </c>
      <c r="X26" s="360">
        <v>238.17</v>
      </c>
      <c r="Y26" s="40">
        <v>238.61</v>
      </c>
      <c r="Z26" s="40">
        <v>237.73</v>
      </c>
      <c r="AA26" s="360">
        <v>238.42</v>
      </c>
      <c r="AB26" s="94">
        <v>81974300</v>
      </c>
      <c r="AC26" s="240">
        <v>237.39</v>
      </c>
      <c r="AD26" s="2">
        <f t="shared" si="0"/>
        <v>0.88000000000002387</v>
      </c>
      <c r="AE26" s="135">
        <f t="shared" si="1"/>
        <v>6.3227111785524315E-4</v>
      </c>
    </row>
    <row r="27" spans="1:40" x14ac:dyDescent="0.25">
      <c r="B27" s="19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8">
        <f t="shared" si="4"/>
        <v>0.1405631973552158</v>
      </c>
      <c r="I27" s="40"/>
      <c r="W27" s="93">
        <v>42796</v>
      </c>
      <c r="X27" s="360">
        <v>239.56</v>
      </c>
      <c r="Y27" s="40">
        <v>239.57</v>
      </c>
      <c r="Z27" s="40">
        <v>238.21</v>
      </c>
      <c r="AA27" s="360">
        <v>238.27</v>
      </c>
      <c r="AB27" s="94">
        <v>70246000</v>
      </c>
      <c r="AC27" s="240">
        <v>237.24</v>
      </c>
      <c r="AD27" s="2">
        <f t="shared" si="0"/>
        <v>1.3599999999999852</v>
      </c>
      <c r="AE27" s="135">
        <f t="shared" si="1"/>
        <v>-6.2829856747926849E-3</v>
      </c>
    </row>
    <row r="28" spans="1:40" x14ac:dyDescent="0.25">
      <c r="B28" s="19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8">
        <f t="shared" si="4"/>
        <v>0.17480370742074511</v>
      </c>
      <c r="I28" s="40"/>
      <c r="W28" s="93">
        <v>42795</v>
      </c>
      <c r="X28" s="360">
        <v>238.39</v>
      </c>
      <c r="Y28" s="40">
        <v>240.32</v>
      </c>
      <c r="Z28" s="40">
        <v>238.37</v>
      </c>
      <c r="AA28" s="360">
        <v>239.78</v>
      </c>
      <c r="AB28" s="94">
        <v>149158200</v>
      </c>
      <c r="AC28" s="240">
        <v>238.74</v>
      </c>
      <c r="AD28" s="2">
        <f t="shared" si="0"/>
        <v>1.9499999999999886</v>
      </c>
      <c r="AE28" s="135">
        <f t="shared" si="1"/>
        <v>1.3973242726693647E-2</v>
      </c>
    </row>
    <row r="29" spans="1:40" x14ac:dyDescent="0.25">
      <c r="B29" s="190">
        <v>42440</v>
      </c>
      <c r="C29" s="10">
        <v>0</v>
      </c>
      <c r="D29" s="40"/>
      <c r="E29" s="40"/>
      <c r="F29" s="40">
        <v>160.83000000000001</v>
      </c>
      <c r="G29" s="40"/>
      <c r="H29" s="228"/>
      <c r="I29" s="40"/>
      <c r="W29" s="93">
        <v>42794</v>
      </c>
      <c r="X29" s="360">
        <v>236.67</v>
      </c>
      <c r="Y29" s="40">
        <v>236.95</v>
      </c>
      <c r="Z29" s="40">
        <v>236.02</v>
      </c>
      <c r="AA29" s="360">
        <v>236.47</v>
      </c>
      <c r="AB29" s="94">
        <v>96961900</v>
      </c>
      <c r="AC29" s="240">
        <v>235.45</v>
      </c>
      <c r="AD29" s="2">
        <f t="shared" si="0"/>
        <v>0.9299999999999784</v>
      </c>
      <c r="AE29" s="135">
        <f t="shared" si="1"/>
        <v>-2.6685869196882983E-3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42793</v>
      </c>
      <c r="X30" s="360">
        <v>236.64</v>
      </c>
      <c r="Y30" s="40">
        <v>237.31</v>
      </c>
      <c r="Z30" s="40">
        <v>236.35</v>
      </c>
      <c r="AA30" s="360">
        <v>237.11</v>
      </c>
      <c r="AB30" s="94">
        <v>56515400</v>
      </c>
      <c r="AC30" s="240">
        <v>236.08</v>
      </c>
      <c r="AD30" s="2">
        <f t="shared" si="0"/>
        <v>0.96000000000000796</v>
      </c>
      <c r="AE30" s="135">
        <f t="shared" si="1"/>
        <v>1.5697255101607688E-3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40"/>
      <c r="W31" s="93">
        <v>42790</v>
      </c>
      <c r="X31" s="360">
        <v>235.46</v>
      </c>
      <c r="Y31" s="40">
        <v>236.79</v>
      </c>
      <c r="Z31" s="40">
        <v>235.41</v>
      </c>
      <c r="AA31" s="360">
        <v>236.74</v>
      </c>
      <c r="AB31" s="94">
        <v>82381600</v>
      </c>
      <c r="AC31" s="240">
        <v>235.71</v>
      </c>
      <c r="AD31" s="2">
        <f t="shared" si="0"/>
        <v>1.3799999999999955</v>
      </c>
      <c r="AE31" s="135">
        <f t="shared" si="1"/>
        <v>1.2318409650837747E-3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42789</v>
      </c>
      <c r="X32" s="360">
        <v>236.88</v>
      </c>
      <c r="Y32" s="40">
        <v>236.9</v>
      </c>
      <c r="Z32" s="40">
        <v>235.56</v>
      </c>
      <c r="AA32" s="360">
        <v>236.44</v>
      </c>
      <c r="AB32" s="94">
        <v>74615900</v>
      </c>
      <c r="AC32" s="240">
        <v>235.42</v>
      </c>
      <c r="AD32" s="2">
        <f t="shared" si="0"/>
        <v>1.3400000000000034</v>
      </c>
      <c r="AE32" s="135">
        <f t="shared" si="1"/>
        <v>6.800986142989629E-4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42788</v>
      </c>
      <c r="X33" s="360">
        <v>236.02</v>
      </c>
      <c r="Y33" s="40">
        <v>236.54</v>
      </c>
      <c r="Z33" s="40">
        <v>235.83</v>
      </c>
      <c r="AA33" s="360">
        <v>236.28</v>
      </c>
      <c r="AB33" s="94">
        <v>62115200</v>
      </c>
      <c r="AC33" s="240">
        <v>235.26</v>
      </c>
      <c r="AD33" s="2">
        <f t="shared" si="0"/>
        <v>0.70999999999997954</v>
      </c>
      <c r="AE33" s="135">
        <f t="shared" si="1"/>
        <v>-8.9183335456743951E-4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42787</v>
      </c>
      <c r="X34" s="360">
        <v>235.52</v>
      </c>
      <c r="Y34" s="40">
        <v>236.69</v>
      </c>
      <c r="Z34" s="40">
        <v>235.51</v>
      </c>
      <c r="AA34" s="360">
        <v>236.49</v>
      </c>
      <c r="AB34" s="94">
        <v>88946100</v>
      </c>
      <c r="AC34" s="240">
        <v>235.47</v>
      </c>
      <c r="AD34" s="2">
        <f t="shared" si="0"/>
        <v>1.1800000000000068</v>
      </c>
      <c r="AE34" s="135">
        <f t="shared" si="1"/>
        <v>5.9811167599437276E-3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42783</v>
      </c>
      <c r="X35" s="360">
        <v>233.95</v>
      </c>
      <c r="Y35" s="40">
        <v>235.09</v>
      </c>
      <c r="Z35" s="40">
        <v>233.93</v>
      </c>
      <c r="AA35" s="360">
        <v>235.09</v>
      </c>
      <c r="AB35" s="94">
        <v>77204100</v>
      </c>
      <c r="AC35" s="240">
        <v>234.07</v>
      </c>
      <c r="AD35" s="2">
        <f t="shared" si="0"/>
        <v>1.1599999999999966</v>
      </c>
      <c r="AE35" s="135">
        <f t="shared" si="1"/>
        <v>1.583226358579326E-3</v>
      </c>
    </row>
    <row r="36" spans="1:31" x14ac:dyDescent="0.25">
      <c r="W36" s="93">
        <v>42782</v>
      </c>
      <c r="X36" s="360">
        <v>234.95</v>
      </c>
      <c r="Y36" s="40">
        <v>235.16</v>
      </c>
      <c r="Z36" s="40">
        <v>233.85</v>
      </c>
      <c r="AA36" s="360">
        <v>234.72</v>
      </c>
      <c r="AB36" s="94">
        <v>84722400</v>
      </c>
      <c r="AC36" s="240">
        <v>233.7</v>
      </c>
      <c r="AD36" s="2">
        <f t="shared" si="0"/>
        <v>1.3100000000000023</v>
      </c>
      <c r="AE36" s="135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3">
        <v>42781</v>
      </c>
      <c r="X37" s="360">
        <v>233.45</v>
      </c>
      <c r="Y37" s="40">
        <v>235.14</v>
      </c>
      <c r="Z37" s="40">
        <v>233.39</v>
      </c>
      <c r="AA37" s="360">
        <v>234.92</v>
      </c>
      <c r="AB37" s="94">
        <v>86785800</v>
      </c>
      <c r="AC37" s="240">
        <v>233.9</v>
      </c>
      <c r="AD37" s="2">
        <f t="shared" si="0"/>
        <v>1.75</v>
      </c>
      <c r="AE37" s="135">
        <f t="shared" si="1"/>
        <v>5.200051570759312E-3</v>
      </c>
    </row>
    <row r="38" spans="1:31" x14ac:dyDescent="0.25">
      <c r="A38" s="260" t="s">
        <v>1</v>
      </c>
      <c r="B38" s="260" t="s">
        <v>2</v>
      </c>
      <c r="C38" s="260" t="s">
        <v>4</v>
      </c>
      <c r="D38" s="261" t="s">
        <v>5</v>
      </c>
      <c r="E38" s="261" t="s">
        <v>90</v>
      </c>
      <c r="F38" s="261" t="s">
        <v>60</v>
      </c>
      <c r="G38" s="260" t="s">
        <v>3</v>
      </c>
      <c r="H38" s="260" t="s">
        <v>6</v>
      </c>
      <c r="I38" s="261" t="s">
        <v>7</v>
      </c>
      <c r="J38" s="261" t="s">
        <v>89</v>
      </c>
      <c r="K38" s="261" t="s">
        <v>61</v>
      </c>
      <c r="L38" s="260" t="s">
        <v>77</v>
      </c>
      <c r="M38" s="260" t="s">
        <v>38</v>
      </c>
      <c r="W38" s="93">
        <v>42780</v>
      </c>
      <c r="X38" s="360">
        <v>232.56</v>
      </c>
      <c r="Y38" s="40">
        <v>233.71</v>
      </c>
      <c r="Z38" s="40">
        <v>232.16</v>
      </c>
      <c r="AA38" s="360">
        <v>233.7</v>
      </c>
      <c r="AB38" s="94">
        <v>71109000</v>
      </c>
      <c r="AC38" s="240">
        <v>232.69</v>
      </c>
      <c r="AD38" s="2">
        <f t="shared" si="0"/>
        <v>1.5500000000000114</v>
      </c>
      <c r="AE38" s="135">
        <f t="shared" si="1"/>
        <v>4.0127718329305839E-3</v>
      </c>
    </row>
    <row r="39" spans="1:31" ht="20.25" thickBot="1" x14ac:dyDescent="0.35">
      <c r="A39" s="262" t="s">
        <v>175</v>
      </c>
      <c r="B39" s="263">
        <v>42377</v>
      </c>
      <c r="C39" s="258">
        <v>20</v>
      </c>
      <c r="D39" s="259">
        <v>192.9</v>
      </c>
      <c r="E39" s="259">
        <v>0</v>
      </c>
      <c r="F39" s="259">
        <f>C39*D39+E39</f>
        <v>3858</v>
      </c>
      <c r="G39" s="263">
        <v>42398</v>
      </c>
      <c r="H39" s="264">
        <v>20</v>
      </c>
      <c r="I39" s="259">
        <v>192.22</v>
      </c>
      <c r="J39" s="259">
        <v>7.0000000000000007E-2</v>
      </c>
      <c r="K39" s="259">
        <f>H39*I39-J39</f>
        <v>3844.33</v>
      </c>
      <c r="L39" s="263"/>
      <c r="M39" s="259"/>
      <c r="O39" s="11"/>
      <c r="P39" s="716" t="s">
        <v>78</v>
      </c>
      <c r="Q39" s="716"/>
      <c r="R39" s="34"/>
      <c r="T39" s="90" t="s">
        <v>112</v>
      </c>
      <c r="W39" s="93">
        <v>42779</v>
      </c>
      <c r="X39" s="360">
        <v>232.08</v>
      </c>
      <c r="Y39" s="40">
        <v>233.07</v>
      </c>
      <c r="Z39" s="40">
        <v>232.05</v>
      </c>
      <c r="AA39" s="360">
        <v>232.77</v>
      </c>
      <c r="AB39" s="94">
        <v>55182100</v>
      </c>
      <c r="AC39" s="240">
        <v>231.76</v>
      </c>
      <c r="AD39" s="2">
        <f t="shared" si="0"/>
        <v>1.0199999999999818</v>
      </c>
      <c r="AE39" s="135">
        <f t="shared" si="1"/>
        <v>5.4227582317469825E-3</v>
      </c>
    </row>
    <row r="40" spans="1:31" ht="15.75" thickTop="1" x14ac:dyDescent="0.25">
      <c r="A40" s="265" t="s">
        <v>71</v>
      </c>
      <c r="B40" s="263">
        <v>42384</v>
      </c>
      <c r="C40" s="258">
        <v>5</v>
      </c>
      <c r="D40" s="259">
        <v>186.79</v>
      </c>
      <c r="E40" s="259">
        <v>0</v>
      </c>
      <c r="F40" s="259">
        <f>C40*D40+E40</f>
        <v>933.94999999999993</v>
      </c>
      <c r="G40" s="263">
        <v>42416</v>
      </c>
      <c r="H40" s="264">
        <v>10</v>
      </c>
      <c r="I40" s="259">
        <v>189.25</v>
      </c>
      <c r="J40" s="259">
        <v>0.04</v>
      </c>
      <c r="K40" s="259">
        <f>H40*I40-J40</f>
        <v>1892.46</v>
      </c>
      <c r="L40" s="258"/>
      <c r="M40" s="258"/>
      <c r="O40" s="2"/>
      <c r="P40" s="82">
        <v>1.1000000000000001</v>
      </c>
      <c r="Q40" s="82">
        <f>P40*$Q$4</f>
        <v>271.161</v>
      </c>
      <c r="R40" s="34"/>
      <c r="T40" s="96" t="s">
        <v>97</v>
      </c>
      <c r="U40" s="127">
        <v>235.48</v>
      </c>
      <c r="W40" s="93">
        <v>42776</v>
      </c>
      <c r="X40" s="360">
        <v>231</v>
      </c>
      <c r="Y40" s="40">
        <v>231.77</v>
      </c>
      <c r="Z40" s="40">
        <v>230.62</v>
      </c>
      <c r="AA40" s="360">
        <v>231.51</v>
      </c>
      <c r="AB40" s="94">
        <v>66015900</v>
      </c>
      <c r="AC40" s="240">
        <v>230.51</v>
      </c>
      <c r="AD40" s="2">
        <f t="shared" si="0"/>
        <v>1.1500000000000057</v>
      </c>
      <c r="AE40" s="135">
        <f t="shared" si="1"/>
        <v>3.9634146341462895E-3</v>
      </c>
    </row>
    <row r="41" spans="1:31" x14ac:dyDescent="0.25">
      <c r="A41" s="258"/>
      <c r="B41" s="263">
        <v>42405</v>
      </c>
      <c r="C41" s="258">
        <v>15</v>
      </c>
      <c r="D41" s="259">
        <v>187.8</v>
      </c>
      <c r="E41" s="259">
        <v>0</v>
      </c>
      <c r="F41" s="259">
        <f>C41*D41+E41</f>
        <v>2817</v>
      </c>
      <c r="G41" s="263">
        <v>42424</v>
      </c>
      <c r="H41" s="264">
        <v>10</v>
      </c>
      <c r="I41" s="259">
        <v>194.3</v>
      </c>
      <c r="J41" s="259">
        <v>0.04</v>
      </c>
      <c r="K41" s="259">
        <f>H41*I41-J41</f>
        <v>1942.96</v>
      </c>
      <c r="L41" s="258"/>
      <c r="M41" s="258"/>
      <c r="O41" s="2"/>
      <c r="P41" s="82">
        <v>1.0900000000000001</v>
      </c>
      <c r="Q41" s="82">
        <f t="shared" ref="Q41:Q60" si="5">P41*$Q$4</f>
        <v>268.69589999999999</v>
      </c>
      <c r="R41" s="34"/>
      <c r="T41" s="86" t="s">
        <v>98</v>
      </c>
      <c r="U41" s="128">
        <v>236.26</v>
      </c>
      <c r="W41" s="93">
        <v>42775</v>
      </c>
      <c r="X41" s="360">
        <v>229.24</v>
      </c>
      <c r="Y41" s="40">
        <v>230.95</v>
      </c>
      <c r="Z41" s="40">
        <v>229.24</v>
      </c>
      <c r="AA41" s="360">
        <v>230.6</v>
      </c>
      <c r="AB41" s="94">
        <v>65955200</v>
      </c>
      <c r="AC41" s="240">
        <v>229.6</v>
      </c>
      <c r="AD41" s="2">
        <f t="shared" si="0"/>
        <v>1.7099999999999795</v>
      </c>
      <c r="AE41" s="135">
        <f t="shared" si="1"/>
        <v>5.9145673603504534E-3</v>
      </c>
    </row>
    <row r="42" spans="1:31" x14ac:dyDescent="0.25">
      <c r="A42" s="258"/>
      <c r="B42" s="263">
        <v>42408</v>
      </c>
      <c r="C42" s="258">
        <v>5</v>
      </c>
      <c r="D42" s="259">
        <v>183.55</v>
      </c>
      <c r="E42" s="259">
        <v>0</v>
      </c>
      <c r="F42" s="259">
        <f>C42*D42+E42</f>
        <v>917.75</v>
      </c>
      <c r="G42" s="263">
        <v>42440</v>
      </c>
      <c r="H42" s="264">
        <v>5</v>
      </c>
      <c r="I42" s="259">
        <v>201.56</v>
      </c>
      <c r="J42" s="259">
        <v>0.02</v>
      </c>
      <c r="K42" s="259">
        <f>H42*I42-J42</f>
        <v>1007.78</v>
      </c>
      <c r="L42" s="258"/>
      <c r="M42" s="258"/>
      <c r="O42" s="2"/>
      <c r="P42" s="82">
        <v>1.08</v>
      </c>
      <c r="Q42" s="82">
        <f t="shared" si="5"/>
        <v>266.23079999999999</v>
      </c>
      <c r="R42" s="34"/>
      <c r="T42" s="86" t="s">
        <v>99</v>
      </c>
      <c r="U42" s="128" t="s">
        <v>128</v>
      </c>
      <c r="W42" s="93">
        <v>42774</v>
      </c>
      <c r="X42" s="360">
        <v>228.94</v>
      </c>
      <c r="Y42" s="40">
        <v>229.39</v>
      </c>
      <c r="Z42" s="40">
        <v>228.31</v>
      </c>
      <c r="AA42" s="360">
        <v>229.24</v>
      </c>
      <c r="AB42" s="94">
        <v>51566200</v>
      </c>
      <c r="AC42" s="240">
        <v>228.25</v>
      </c>
      <c r="AD42" s="2">
        <f t="shared" si="0"/>
        <v>1.0799999999999841</v>
      </c>
      <c r="AE42" s="135">
        <f t="shared" si="1"/>
        <v>1.3160780872998323E-3</v>
      </c>
    </row>
    <row r="43" spans="1:31" x14ac:dyDescent="0.25">
      <c r="A43" s="258"/>
      <c r="B43" s="258"/>
      <c r="C43" s="258"/>
      <c r="D43" s="259"/>
      <c r="E43" s="259"/>
      <c r="F43" s="259"/>
      <c r="G43" s="258"/>
      <c r="H43" s="264"/>
      <c r="I43" s="259"/>
      <c r="J43" s="259"/>
      <c r="K43" s="259"/>
      <c r="L43" s="258"/>
      <c r="M43" s="258"/>
      <c r="O43" s="2"/>
      <c r="P43" s="82">
        <v>1.07</v>
      </c>
      <c r="Q43" s="82">
        <f t="shared" si="5"/>
        <v>263.76569999999998</v>
      </c>
      <c r="R43" s="82"/>
      <c r="T43" s="86" t="s">
        <v>100</v>
      </c>
      <c r="U43" s="128" t="s">
        <v>128</v>
      </c>
      <c r="W43" s="93">
        <v>42773</v>
      </c>
      <c r="X43" s="360">
        <v>229.38</v>
      </c>
      <c r="Y43" s="40">
        <v>229.66</v>
      </c>
      <c r="Z43" s="40">
        <v>228.72</v>
      </c>
      <c r="AA43" s="360">
        <v>228.94</v>
      </c>
      <c r="AB43" s="94">
        <v>57931200</v>
      </c>
      <c r="AC43" s="240">
        <v>227.95</v>
      </c>
      <c r="AD43" s="2">
        <f t="shared" si="0"/>
        <v>0.93999999999999773</v>
      </c>
      <c r="AE43" s="135">
        <f t="shared" si="1"/>
        <v>4.3871194173927819E-5</v>
      </c>
    </row>
    <row r="44" spans="1:31" x14ac:dyDescent="0.25">
      <c r="A44" s="258"/>
      <c r="B44" s="258"/>
      <c r="C44" s="258"/>
      <c r="D44" s="259"/>
      <c r="E44" s="259"/>
      <c r="F44" s="259"/>
      <c r="G44" s="258"/>
      <c r="H44" s="258"/>
      <c r="I44" s="259"/>
      <c r="J44" s="259"/>
      <c r="K44" s="259"/>
      <c r="L44" s="258"/>
      <c r="M44" s="258"/>
      <c r="O44" s="2"/>
      <c r="P44" s="82">
        <v>1.06</v>
      </c>
      <c r="Q44" s="82">
        <f t="shared" si="5"/>
        <v>261.30060000000003</v>
      </c>
      <c r="R44" s="82"/>
      <c r="T44" s="86" t="s">
        <v>329</v>
      </c>
      <c r="U44" s="128">
        <v>235.52</v>
      </c>
      <c r="W44" s="93">
        <v>42772</v>
      </c>
      <c r="X44" s="360">
        <v>228.87</v>
      </c>
      <c r="Y44" s="40">
        <v>229.33</v>
      </c>
      <c r="Z44" s="40">
        <v>228.54</v>
      </c>
      <c r="AA44" s="360">
        <v>228.93</v>
      </c>
      <c r="AB44" s="94">
        <v>57790100</v>
      </c>
      <c r="AC44" s="240">
        <v>227.94</v>
      </c>
      <c r="AD44" s="2">
        <f t="shared" si="0"/>
        <v>0.79000000000002046</v>
      </c>
      <c r="AE44" s="135">
        <f t="shared" si="1"/>
        <v>-1.7954893803371341E-3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9"/>
      <c r="J45" s="259"/>
      <c r="K45" s="259"/>
      <c r="L45" s="258"/>
      <c r="M45" s="258"/>
      <c r="O45" s="2"/>
      <c r="P45" s="82">
        <v>1.05</v>
      </c>
      <c r="Q45" s="82">
        <f t="shared" si="5"/>
        <v>258.83550000000002</v>
      </c>
      <c r="R45" s="82"/>
      <c r="T45" s="86" t="s">
        <v>330</v>
      </c>
      <c r="U45" s="128" t="s">
        <v>503</v>
      </c>
      <c r="W45" s="93">
        <v>42769</v>
      </c>
      <c r="X45" s="360">
        <v>228.82</v>
      </c>
      <c r="Y45" s="40">
        <v>229.55</v>
      </c>
      <c r="Z45" s="40">
        <v>228.46</v>
      </c>
      <c r="AA45" s="360">
        <v>229.34</v>
      </c>
      <c r="AB45" s="94">
        <v>80563200</v>
      </c>
      <c r="AC45" s="240">
        <v>228.35</v>
      </c>
      <c r="AD45" s="2">
        <f t="shared" si="0"/>
        <v>1.0900000000000034</v>
      </c>
      <c r="AE45" s="135">
        <f t="shared" si="1"/>
        <v>6.9230090836933655E-3</v>
      </c>
    </row>
    <row r="46" spans="1:31" x14ac:dyDescent="0.25">
      <c r="A46" s="258"/>
      <c r="B46" s="258"/>
      <c r="C46" s="258"/>
      <c r="D46" s="259"/>
      <c r="E46" s="259"/>
      <c r="F46" s="259"/>
      <c r="G46" s="258"/>
      <c r="H46" s="258"/>
      <c r="I46" s="259"/>
      <c r="J46" s="259"/>
      <c r="K46" s="259"/>
      <c r="L46" s="258"/>
      <c r="M46" s="258"/>
      <c r="O46" s="2"/>
      <c r="P46" s="82">
        <v>1.04</v>
      </c>
      <c r="Q46" s="82">
        <f t="shared" si="5"/>
        <v>256.37040000000002</v>
      </c>
      <c r="R46" s="82"/>
      <c r="T46" s="86" t="s">
        <v>331</v>
      </c>
      <c r="U46" s="229">
        <v>5.79E-2</v>
      </c>
      <c r="W46" s="93">
        <v>42768</v>
      </c>
      <c r="X46" s="360">
        <v>227.62</v>
      </c>
      <c r="Y46" s="40">
        <v>228.1</v>
      </c>
      <c r="Z46" s="40">
        <v>226.82</v>
      </c>
      <c r="AA46" s="360">
        <v>227.77</v>
      </c>
      <c r="AB46" s="94">
        <v>69657600</v>
      </c>
      <c r="AC46" s="240">
        <v>226.78</v>
      </c>
      <c r="AD46" s="2">
        <f t="shared" si="0"/>
        <v>1.2800000000000011</v>
      </c>
      <c r="AE46" s="135">
        <f t="shared" si="1"/>
        <v>6.6187177337506675E-4</v>
      </c>
    </row>
    <row r="47" spans="1:31" x14ac:dyDescent="0.25">
      <c r="A47" s="258"/>
      <c r="B47" s="258"/>
      <c r="C47" s="258"/>
      <c r="D47" s="259"/>
      <c r="E47" s="259"/>
      <c r="F47" s="259"/>
      <c r="G47" s="258"/>
      <c r="H47" s="258"/>
      <c r="I47" s="259"/>
      <c r="J47" s="259"/>
      <c r="K47" s="259"/>
      <c r="L47" s="258"/>
      <c r="M47" s="258"/>
      <c r="O47" s="2"/>
      <c r="P47" s="82">
        <v>1.03</v>
      </c>
      <c r="Q47" s="82">
        <f t="shared" si="5"/>
        <v>253.90530000000001</v>
      </c>
      <c r="R47" s="82"/>
      <c r="T47" s="86"/>
      <c r="U47" s="128"/>
      <c r="W47" s="93">
        <v>42767</v>
      </c>
      <c r="X47" s="360">
        <v>227.53</v>
      </c>
      <c r="Y47" s="40">
        <v>228.59</v>
      </c>
      <c r="Z47" s="40">
        <v>226.94</v>
      </c>
      <c r="AA47" s="360">
        <v>227.62</v>
      </c>
      <c r="AB47" s="94">
        <v>79117700</v>
      </c>
      <c r="AC47" s="240">
        <v>226.63</v>
      </c>
      <c r="AD47" s="2">
        <f t="shared" si="0"/>
        <v>1.6500000000000057</v>
      </c>
      <c r="AE47" s="135">
        <f t="shared" si="1"/>
        <v>3.9728083340695441E-4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/>
      <c r="M48" s="258"/>
      <c r="O48" s="2"/>
      <c r="P48" s="82">
        <v>1.02</v>
      </c>
      <c r="Q48" s="82">
        <f t="shared" si="5"/>
        <v>251.4402</v>
      </c>
      <c r="R48" s="82"/>
      <c r="T48" s="86" t="s">
        <v>104</v>
      </c>
      <c r="U48" s="128" t="s">
        <v>676</v>
      </c>
      <c r="W48" s="93">
        <v>42766</v>
      </c>
      <c r="X48" s="360">
        <v>226.98</v>
      </c>
      <c r="Y48" s="40">
        <v>227.6</v>
      </c>
      <c r="Z48" s="40">
        <v>226.32</v>
      </c>
      <c r="AA48" s="360">
        <v>227.53</v>
      </c>
      <c r="AB48" s="94">
        <v>75880800</v>
      </c>
      <c r="AC48" s="240">
        <v>226.54</v>
      </c>
      <c r="AD48" s="2">
        <f t="shared" si="0"/>
        <v>1.2800000000000011</v>
      </c>
      <c r="AE48" s="135">
        <f t="shared" si="1"/>
        <v>-8.8276836158196481E-5</v>
      </c>
    </row>
    <row r="49" spans="1:31" x14ac:dyDescent="0.25">
      <c r="A49" s="258"/>
      <c r="B49" s="258"/>
      <c r="C49" s="258"/>
      <c r="D49" s="259"/>
      <c r="E49" s="259"/>
      <c r="F49" s="259"/>
      <c r="G49" s="258"/>
      <c r="H49" s="258"/>
      <c r="I49" s="259"/>
      <c r="J49" s="259"/>
      <c r="K49" s="259"/>
      <c r="L49" s="258"/>
      <c r="M49" s="258"/>
      <c r="O49" s="2"/>
      <c r="P49" s="82">
        <v>1.01</v>
      </c>
      <c r="Q49" s="82">
        <f t="shared" si="5"/>
        <v>248.9751</v>
      </c>
      <c r="R49" s="82"/>
      <c r="T49" s="86" t="s">
        <v>105</v>
      </c>
      <c r="U49" s="128" t="s">
        <v>510</v>
      </c>
      <c r="W49" s="93">
        <v>42765</v>
      </c>
      <c r="X49" s="360">
        <v>228.17</v>
      </c>
      <c r="Y49" s="40">
        <v>228.2</v>
      </c>
      <c r="Z49" s="40">
        <v>226.41</v>
      </c>
      <c r="AA49" s="360">
        <v>227.55</v>
      </c>
      <c r="AB49" s="94">
        <v>79737300</v>
      </c>
      <c r="AC49" s="240">
        <v>226.56</v>
      </c>
      <c r="AD49" s="2">
        <f t="shared" si="0"/>
        <v>1.789999999999992</v>
      </c>
      <c r="AE49" s="135">
        <f t="shared" si="1"/>
        <v>-6.2286165453109277E-3</v>
      </c>
    </row>
    <row r="50" spans="1:31" x14ac:dyDescent="0.25">
      <c r="A50" s="258"/>
      <c r="B50" s="258"/>
      <c r="C50" s="258"/>
      <c r="D50" s="259"/>
      <c r="E50" s="259"/>
      <c r="F50" s="259"/>
      <c r="G50" s="258"/>
      <c r="H50" s="258"/>
      <c r="I50" s="259"/>
      <c r="J50" s="259"/>
      <c r="K50" s="259"/>
      <c r="L50" s="258"/>
      <c r="M50" s="258"/>
      <c r="O50" s="2"/>
      <c r="P50" s="82">
        <v>1</v>
      </c>
      <c r="Q50" s="82">
        <f t="shared" si="5"/>
        <v>246.51</v>
      </c>
      <c r="R50" s="82"/>
      <c r="T50" s="86" t="s">
        <v>106</v>
      </c>
      <c r="U50" s="129">
        <v>108800604</v>
      </c>
      <c r="W50" s="93">
        <v>42762</v>
      </c>
      <c r="X50" s="360">
        <v>229.42</v>
      </c>
      <c r="Y50" s="40">
        <v>229.59</v>
      </c>
      <c r="Z50" s="40">
        <v>228.76</v>
      </c>
      <c r="AA50" s="360">
        <v>228.97</v>
      </c>
      <c r="AB50" s="94">
        <v>59711100</v>
      </c>
      <c r="AC50" s="240">
        <v>227.98</v>
      </c>
      <c r="AD50" s="2">
        <f t="shared" si="0"/>
        <v>0.83000000000001251</v>
      </c>
      <c r="AE50" s="135">
        <f t="shared" si="1"/>
        <v>-1.5765963037576158E-3</v>
      </c>
    </row>
    <row r="51" spans="1:31" x14ac:dyDescent="0.25">
      <c r="A51" s="258"/>
      <c r="B51" s="258"/>
      <c r="C51" s="258"/>
      <c r="D51" s="259"/>
      <c r="E51" s="259"/>
      <c r="F51" s="259"/>
      <c r="G51" s="258"/>
      <c r="H51" s="258"/>
      <c r="I51" s="259"/>
      <c r="J51" s="259"/>
      <c r="K51" s="259"/>
      <c r="L51" s="258"/>
      <c r="M51" s="258"/>
      <c r="O51" s="2"/>
      <c r="P51" s="82">
        <v>0.99</v>
      </c>
      <c r="Q51" s="82">
        <f t="shared" si="5"/>
        <v>244.04489999999998</v>
      </c>
      <c r="R51" s="82"/>
      <c r="T51" s="86" t="s">
        <v>109</v>
      </c>
      <c r="U51" s="129">
        <v>76864400</v>
      </c>
      <c r="W51" s="93">
        <v>42761</v>
      </c>
      <c r="X51" s="360">
        <v>229.4</v>
      </c>
      <c r="Y51" s="40">
        <v>229.71</v>
      </c>
      <c r="Z51" s="40">
        <v>229.01</v>
      </c>
      <c r="AA51" s="360">
        <v>229.33</v>
      </c>
      <c r="AB51" s="94">
        <v>59970700</v>
      </c>
      <c r="AC51" s="240">
        <v>228.34</v>
      </c>
      <c r="AD51" s="2">
        <f t="shared" si="0"/>
        <v>0.70000000000001705</v>
      </c>
      <c r="AE51" s="135">
        <f t="shared" si="1"/>
        <v>-1.0499606264765537E-3</v>
      </c>
    </row>
    <row r="52" spans="1:31" x14ac:dyDescent="0.25">
      <c r="A52" s="258"/>
      <c r="B52" s="258"/>
      <c r="C52" s="258"/>
      <c r="D52" s="259"/>
      <c r="E52" s="259"/>
      <c r="F52" s="259"/>
      <c r="G52" s="258"/>
      <c r="H52" s="258"/>
      <c r="I52" s="259"/>
      <c r="J52" s="259"/>
      <c r="K52" s="259"/>
      <c r="L52" s="258"/>
      <c r="M52" s="258"/>
      <c r="O52" s="2"/>
      <c r="P52" s="82">
        <v>0.98</v>
      </c>
      <c r="Q52" s="82">
        <f t="shared" si="5"/>
        <v>241.57979999999998</v>
      </c>
      <c r="R52" s="82"/>
      <c r="T52" s="86" t="s">
        <v>332</v>
      </c>
      <c r="U52" s="128">
        <v>20</v>
      </c>
      <c r="W52" s="93">
        <v>42760</v>
      </c>
      <c r="X52" s="360">
        <v>228.7</v>
      </c>
      <c r="Y52" s="40">
        <v>229.57</v>
      </c>
      <c r="Z52" s="40">
        <v>228.51</v>
      </c>
      <c r="AA52" s="360">
        <v>229.57</v>
      </c>
      <c r="AB52" s="94">
        <v>84437700</v>
      </c>
      <c r="AC52" s="240">
        <v>228.58</v>
      </c>
      <c r="AD52" s="2">
        <f t="shared" si="0"/>
        <v>1.0600000000000023</v>
      </c>
      <c r="AE52" s="135">
        <f t="shared" si="1"/>
        <v>8.6933498080401517E-3</v>
      </c>
    </row>
    <row r="53" spans="1:31" x14ac:dyDescent="0.25">
      <c r="A53" s="258"/>
      <c r="B53" s="258"/>
      <c r="C53" s="258"/>
      <c r="D53" s="259"/>
      <c r="E53" s="259"/>
      <c r="F53" s="259"/>
      <c r="G53" s="258"/>
      <c r="H53" s="258"/>
      <c r="I53" s="259"/>
      <c r="J53" s="259"/>
      <c r="K53" s="259"/>
      <c r="L53" s="258"/>
      <c r="M53" s="258"/>
      <c r="O53" s="2"/>
      <c r="P53" s="82">
        <v>0.97</v>
      </c>
      <c r="Q53" s="82">
        <f t="shared" si="5"/>
        <v>239.11469999999997</v>
      </c>
      <c r="R53" s="82"/>
      <c r="T53" s="86" t="s">
        <v>333</v>
      </c>
      <c r="U53" s="128">
        <v>1.92</v>
      </c>
      <c r="W53" s="93">
        <v>42759</v>
      </c>
      <c r="X53" s="360">
        <v>226.4</v>
      </c>
      <c r="Y53" s="40">
        <v>228.08</v>
      </c>
      <c r="Z53" s="40">
        <v>226.27</v>
      </c>
      <c r="AA53" s="360">
        <v>227.6</v>
      </c>
      <c r="AB53" s="94">
        <v>95555300</v>
      </c>
      <c r="AC53" s="240">
        <v>226.61</v>
      </c>
      <c r="AD53" s="2">
        <f t="shared" si="0"/>
        <v>1.8100000000000023</v>
      </c>
      <c r="AE53" s="135">
        <f t="shared" si="1"/>
        <v>6.3951680952170076E-3</v>
      </c>
    </row>
    <row r="54" spans="1:31" x14ac:dyDescent="0.25">
      <c r="A54" s="258"/>
      <c r="B54" s="258"/>
      <c r="C54" s="258"/>
      <c r="D54" s="259"/>
      <c r="E54" s="259"/>
      <c r="F54" s="259"/>
      <c r="G54" s="258"/>
      <c r="H54" s="258"/>
      <c r="I54" s="259"/>
      <c r="J54" s="259"/>
      <c r="K54" s="259"/>
      <c r="L54" s="258"/>
      <c r="M54" s="258"/>
      <c r="O54" s="2"/>
      <c r="P54" s="82">
        <v>0.96</v>
      </c>
      <c r="Q54" s="82">
        <f t="shared" si="5"/>
        <v>236.64959999999999</v>
      </c>
      <c r="R54" s="82"/>
      <c r="T54" s="86"/>
      <c r="U54" s="128"/>
      <c r="W54" s="93">
        <v>42758</v>
      </c>
      <c r="X54" s="360">
        <v>226.74</v>
      </c>
      <c r="Y54" s="40">
        <v>226.81</v>
      </c>
      <c r="Z54" s="40">
        <v>225.27</v>
      </c>
      <c r="AA54" s="360">
        <v>226.15</v>
      </c>
      <c r="AB54" s="94">
        <v>75061600</v>
      </c>
      <c r="AC54" s="240">
        <v>225.17</v>
      </c>
      <c r="AD54" s="2">
        <f t="shared" si="0"/>
        <v>1.539999999999992</v>
      </c>
      <c r="AE54" s="135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234.18449999999999</v>
      </c>
      <c r="R55" s="82"/>
      <c r="T55" s="86"/>
      <c r="U55" s="128"/>
      <c r="W55" s="93">
        <v>42755</v>
      </c>
      <c r="X55" s="360">
        <v>226.7</v>
      </c>
      <c r="Y55" s="40">
        <v>227.31</v>
      </c>
      <c r="Z55" s="40">
        <v>225.97</v>
      </c>
      <c r="AA55" s="360">
        <v>226.74</v>
      </c>
      <c r="AB55" s="94">
        <v>129168600</v>
      </c>
      <c r="AC55" s="240">
        <v>225.76</v>
      </c>
      <c r="AD55" s="2">
        <f t="shared" si="0"/>
        <v>1.3400000000000034</v>
      </c>
      <c r="AE55" s="135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231.71939999999998</v>
      </c>
      <c r="R56" s="82"/>
      <c r="W56" s="93">
        <v>42754</v>
      </c>
      <c r="X56" s="360">
        <v>226.84</v>
      </c>
      <c r="Y56" s="40">
        <v>227</v>
      </c>
      <c r="Z56" s="40">
        <v>225.41</v>
      </c>
      <c r="AA56" s="360">
        <v>225.91</v>
      </c>
      <c r="AB56" s="94">
        <v>66608800</v>
      </c>
      <c r="AC56" s="240">
        <v>224.93</v>
      </c>
      <c r="AD56" s="2">
        <f t="shared" si="0"/>
        <v>1.5900000000000034</v>
      </c>
      <c r="AE56" s="135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229.2543</v>
      </c>
      <c r="R57" s="82"/>
      <c r="W57" s="93">
        <v>42753</v>
      </c>
      <c r="X57" s="360">
        <v>226.54</v>
      </c>
      <c r="Y57" s="40">
        <v>226.8</v>
      </c>
      <c r="Z57" s="40">
        <v>225.9</v>
      </c>
      <c r="AA57" s="360">
        <v>226.75</v>
      </c>
      <c r="AB57" s="94">
        <v>54793300</v>
      </c>
      <c r="AC57" s="240">
        <v>225.77</v>
      </c>
      <c r="AD57" s="2">
        <f t="shared" si="0"/>
        <v>0.90000000000000568</v>
      </c>
      <c r="AE57" s="135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226.78919999999999</v>
      </c>
      <c r="R58" s="82"/>
      <c r="W58" s="93">
        <v>42752</v>
      </c>
      <c r="X58" s="360">
        <v>226.31</v>
      </c>
      <c r="Y58" s="40">
        <v>226.78</v>
      </c>
      <c r="Z58" s="40">
        <v>225.8</v>
      </c>
      <c r="AA58" s="360">
        <v>226.25</v>
      </c>
      <c r="AB58" s="94">
        <v>61240800</v>
      </c>
      <c r="AC58" s="240">
        <v>225.27</v>
      </c>
      <c r="AD58" s="2">
        <f t="shared" si="0"/>
        <v>0.97999999999998977</v>
      </c>
      <c r="AE58" s="135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224.32409999999999</v>
      </c>
      <c r="R59" s="82"/>
      <c r="W59" s="93">
        <v>42748</v>
      </c>
      <c r="X59" s="360">
        <v>226.73</v>
      </c>
      <c r="Y59" s="40">
        <v>227.4</v>
      </c>
      <c r="Z59" s="40">
        <v>226.69</v>
      </c>
      <c r="AA59" s="360">
        <v>227.05</v>
      </c>
      <c r="AB59" s="94">
        <v>62717900</v>
      </c>
      <c r="AC59" s="240">
        <v>226.07</v>
      </c>
      <c r="AD59" s="2">
        <f t="shared" si="0"/>
        <v>0.71000000000000796</v>
      </c>
      <c r="AE59" s="135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221.85900000000001</v>
      </c>
      <c r="R60" s="82"/>
      <c r="W60" s="93">
        <v>42747</v>
      </c>
      <c r="X60" s="360">
        <v>226.5</v>
      </c>
      <c r="Y60" s="40">
        <v>226.75</v>
      </c>
      <c r="Z60" s="40">
        <v>224.96</v>
      </c>
      <c r="AA60" s="360">
        <v>226.53</v>
      </c>
      <c r="AB60" s="94">
        <v>72113200</v>
      </c>
      <c r="AC60" s="240">
        <v>225.55</v>
      </c>
      <c r="AD60" s="2">
        <f t="shared" si="0"/>
        <v>1.789999999999992</v>
      </c>
      <c r="AE60" s="135">
        <f t="shared" si="1"/>
        <v>-2.5207854236688476E-3</v>
      </c>
    </row>
    <row r="61" spans="1:31" x14ac:dyDescent="0.25">
      <c r="W61" s="93">
        <v>42746</v>
      </c>
      <c r="X61" s="360">
        <v>226.36</v>
      </c>
      <c r="Y61" s="40">
        <v>227.1</v>
      </c>
      <c r="Z61" s="40">
        <v>225.59</v>
      </c>
      <c r="AA61" s="360">
        <v>227.1</v>
      </c>
      <c r="AB61" s="94">
        <v>74650000</v>
      </c>
      <c r="AC61" s="240">
        <v>226.12</v>
      </c>
      <c r="AD61" s="2">
        <f t="shared" si="0"/>
        <v>1.5099999999999909</v>
      </c>
      <c r="AE61" s="135">
        <f t="shared" si="1"/>
        <v>2.8383892141210509E-3</v>
      </c>
    </row>
    <row r="62" spans="1:31" x14ac:dyDescent="0.25">
      <c r="W62" s="93">
        <v>42745</v>
      </c>
      <c r="X62" s="360">
        <v>226.48</v>
      </c>
      <c r="Y62" s="40">
        <v>227.45</v>
      </c>
      <c r="Z62" s="40">
        <v>226.01</v>
      </c>
      <c r="AA62" s="360">
        <v>226.46</v>
      </c>
      <c r="AB62" s="94">
        <v>63771900</v>
      </c>
      <c r="AC62" s="240">
        <v>225.48</v>
      </c>
      <c r="AD62" s="2">
        <f t="shared" si="0"/>
        <v>1.4399999999999977</v>
      </c>
      <c r="AE62" s="135">
        <f t="shared" si="1"/>
        <v>0</v>
      </c>
    </row>
    <row r="63" spans="1:31" x14ac:dyDescent="0.25">
      <c r="W63" s="93">
        <v>42744</v>
      </c>
      <c r="X63" s="360">
        <v>226.91</v>
      </c>
      <c r="Y63" s="40">
        <v>227.07</v>
      </c>
      <c r="Z63" s="40">
        <v>226.42</v>
      </c>
      <c r="AA63" s="360">
        <v>226.46</v>
      </c>
      <c r="AB63" s="94">
        <v>46265300</v>
      </c>
      <c r="AC63" s="240">
        <v>225.48</v>
      </c>
      <c r="AD63" s="2">
        <f t="shared" si="0"/>
        <v>0.65000000000000568</v>
      </c>
      <c r="AE63" s="135">
        <f t="shared" si="1"/>
        <v>-3.3152101843256787E-3</v>
      </c>
    </row>
    <row r="64" spans="1:31" x14ac:dyDescent="0.25">
      <c r="W64" s="93">
        <v>42741</v>
      </c>
      <c r="X64" s="360">
        <v>226.53</v>
      </c>
      <c r="Y64" s="40">
        <v>227.75</v>
      </c>
      <c r="Z64" s="40">
        <v>225.9</v>
      </c>
      <c r="AA64" s="360">
        <v>227.21</v>
      </c>
      <c r="AB64" s="94">
        <v>71559900</v>
      </c>
      <c r="AC64" s="240">
        <v>226.23</v>
      </c>
      <c r="AD64" s="2">
        <f t="shared" si="0"/>
        <v>1.8499999999999943</v>
      </c>
      <c r="AE64" s="135">
        <f t="shared" si="1"/>
        <v>3.5932925206281219E-3</v>
      </c>
    </row>
    <row r="65" spans="23:31" x14ac:dyDescent="0.25">
      <c r="W65" s="93">
        <v>42740</v>
      </c>
      <c r="X65" s="360">
        <v>226.27</v>
      </c>
      <c r="Y65" s="40">
        <v>226.58</v>
      </c>
      <c r="Z65" s="40">
        <v>225.48</v>
      </c>
      <c r="AA65" s="360">
        <v>226.4</v>
      </c>
      <c r="AB65" s="94">
        <v>78379000</v>
      </c>
      <c r="AC65" s="240">
        <v>225.42</v>
      </c>
      <c r="AD65" s="2">
        <f t="shared" si="0"/>
        <v>1.1000000000000227</v>
      </c>
      <c r="AE65" s="135">
        <f t="shared" si="1"/>
        <v>-7.9787234042560939E-4</v>
      </c>
    </row>
    <row r="66" spans="23:31" x14ac:dyDescent="0.25">
      <c r="W66" s="93">
        <v>42739</v>
      </c>
      <c r="X66" s="360">
        <v>225.62</v>
      </c>
      <c r="Y66" s="40">
        <v>226.75</v>
      </c>
      <c r="Z66" s="40">
        <v>225.61</v>
      </c>
      <c r="AA66" s="360">
        <v>226.58</v>
      </c>
      <c r="AB66" s="94">
        <v>78744400</v>
      </c>
      <c r="AC66" s="240">
        <v>225.6</v>
      </c>
      <c r="AD66" s="2">
        <f t="shared" si="0"/>
        <v>1.1399999999999864</v>
      </c>
      <c r="AE66" s="135">
        <f t="shared" si="1"/>
        <v>5.9752073486132318E-3</v>
      </c>
    </row>
    <row r="67" spans="23:31" x14ac:dyDescent="0.25">
      <c r="W67" s="93">
        <v>42738</v>
      </c>
      <c r="X67" s="360">
        <v>225.04</v>
      </c>
      <c r="Y67" s="40">
        <v>225.83</v>
      </c>
      <c r="Z67" s="40">
        <v>223.88</v>
      </c>
      <c r="AA67" s="360">
        <v>225.24</v>
      </c>
      <c r="AB67" s="94">
        <v>91366500</v>
      </c>
      <c r="AC67" s="240">
        <v>224.26</v>
      </c>
      <c r="AD67" s="2">
        <f t="shared" si="0"/>
        <v>1.9500000000000171</v>
      </c>
      <c r="AE67" s="135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0">
        <v>222.56</v>
      </c>
      <c r="AD68" s="2">
        <f>Y68-Z68</f>
        <v>2.1000000000000227</v>
      </c>
      <c r="AE68" s="135" t="e">
        <f>AC68/AC69-1</f>
        <v>#DIV/0!</v>
      </c>
    </row>
    <row r="69" spans="23:31" x14ac:dyDescent="0.25">
      <c r="W69" s="212" t="s">
        <v>120</v>
      </c>
      <c r="X69" s="95"/>
      <c r="Y69" s="240"/>
      <c r="Z69" s="240"/>
      <c r="AA69" s="95"/>
      <c r="AB69" s="213"/>
      <c r="AC69" s="24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F25:F27">
    <cfRule type="expression" dxfId="560" priority="19">
      <formula>F25&gt;0</formula>
    </cfRule>
    <cfRule type="expression" dxfId="55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58" priority="11">
      <formula>F28&gt;0</formula>
    </cfRule>
    <cfRule type="expression" dxfId="557" priority="12">
      <formula>F28&lt;0</formula>
    </cfRule>
  </conditionalFormatting>
  <conditionalFormatting sqref="F28:F35">
    <cfRule type="expression" dxfId="556" priority="13">
      <formula>F28&gt;0</formula>
    </cfRule>
    <cfRule type="expression" dxfId="555" priority="14">
      <formula>F28&lt;0</formula>
    </cfRule>
  </conditionalFormatting>
  <conditionalFormatting sqref="H25:H35">
    <cfRule type="expression" dxfId="554" priority="9">
      <formula>H25&gt;0</formula>
    </cfRule>
    <cfRule type="expression" dxfId="553" priority="10">
      <formula>H25&lt;0</formula>
    </cfRule>
  </conditionalFormatting>
  <conditionalFormatting sqref="F21:F24">
    <cfRule type="expression" dxfId="552" priority="7">
      <formula>F21&gt;0</formula>
    </cfRule>
    <cfRule type="expression" dxfId="551" priority="8">
      <formula>F21&lt;0</formula>
    </cfRule>
  </conditionalFormatting>
  <conditionalFormatting sqref="H21:H24">
    <cfRule type="expression" dxfId="550" priority="5">
      <formula>H21&gt;0</formula>
    </cfRule>
    <cfRule type="expression" dxfId="549" priority="6">
      <formula>H21&lt;0</formula>
    </cfRule>
  </conditionalFormatting>
  <conditionalFormatting sqref="Q8">
    <cfRule type="expression" dxfId="548" priority="1">
      <formula>Q8&gt;0</formula>
    </cfRule>
    <cfRule type="expression" dxfId="547" priority="2">
      <formula>Q8&lt;0</formula>
    </cfRule>
  </conditionalFormatting>
  <conditionalFormatting sqref="Q7">
    <cfRule type="expression" dxfId="546" priority="3">
      <formula>Q7&gt;0</formula>
    </cfRule>
    <cfRule type="expression" dxfId="54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1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0">
        <v>98.89</v>
      </c>
      <c r="AD2" s="2">
        <f>Y2-Z2</f>
        <v>1.9699999999999989</v>
      </c>
      <c r="AE2" s="135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O3" s="11" t="s">
        <v>58</v>
      </c>
      <c r="Q3" s="227">
        <f>IF(Q2=0, Q4, (F18-K18-M18)/Q2)</f>
        <v>105.8</v>
      </c>
      <c r="T3" s="119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0">
        <v>99.35</v>
      </c>
      <c r="AD3" s="2">
        <f>Y3-Z3</f>
        <v>2.5600000000000023</v>
      </c>
      <c r="AE3" s="135">
        <f>AC3/AC4-1</f>
        <v>1.6680311092918565E-2</v>
      </c>
      <c r="AN3" s="231"/>
    </row>
    <row r="4" spans="1:40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O4" s="11" t="s">
        <v>66</v>
      </c>
      <c r="Q4" s="55">
        <v>105.8</v>
      </c>
      <c r="R4" s="497">
        <v>3.0999999999999999E-3</v>
      </c>
      <c r="T4" s="119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0">
        <v>97.72</v>
      </c>
      <c r="AD4" s="2">
        <f t="shared" ref="AD4:AD67" si="0">Y4-Z4</f>
        <v>1.5300000000000011</v>
      </c>
      <c r="AE4" s="135">
        <f t="shared" ref="AE4:AE66" si="1">AC4/AC5-1</f>
        <v>-2.6536027760768466E-3</v>
      </c>
      <c r="AK4" s="231"/>
      <c r="AN4" s="231"/>
    </row>
    <row r="5" spans="1:40" x14ac:dyDescent="0.25">
      <c r="B5" s="73"/>
      <c r="C5" s="17"/>
      <c r="D5" s="74"/>
      <c r="E5" s="74"/>
      <c r="F5" s="3"/>
      <c r="G5" s="73"/>
      <c r="H5" s="182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0">
        <v>97.98</v>
      </c>
      <c r="AD5" s="2">
        <f t="shared" si="0"/>
        <v>0.78000000000000114</v>
      </c>
      <c r="AE5" s="135">
        <f t="shared" si="1"/>
        <v>-1.6303240269003316E-3</v>
      </c>
      <c r="AK5" s="231"/>
      <c r="AN5" s="231"/>
    </row>
    <row r="6" spans="1:40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0">
        <v>98.14</v>
      </c>
      <c r="AD6" s="2">
        <f t="shared" si="0"/>
        <v>1.4399999999999977</v>
      </c>
      <c r="AE6" s="135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0">
        <v>97.23</v>
      </c>
      <c r="AD7" s="2">
        <f t="shared" si="0"/>
        <v>0.84999999999999432</v>
      </c>
      <c r="AE7" s="135">
        <f t="shared" si="1"/>
        <v>-7.1479628305932685E-3</v>
      </c>
      <c r="AK7" s="231"/>
      <c r="AN7" s="231"/>
    </row>
    <row r="8" spans="1:40" x14ac:dyDescent="0.25">
      <c r="B8" s="4"/>
      <c r="C8" s="4"/>
      <c r="D8" s="3"/>
      <c r="E8" s="3"/>
      <c r="F8" s="3"/>
      <c r="G8" s="4"/>
      <c r="H8" s="182"/>
      <c r="I8" s="3"/>
      <c r="J8" s="3"/>
      <c r="K8" s="3"/>
      <c r="L8" s="4"/>
      <c r="O8" s="11" t="s">
        <v>181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0">
        <v>97.93</v>
      </c>
      <c r="AD8" s="2">
        <f t="shared" si="0"/>
        <v>2.1500000000000057</v>
      </c>
      <c r="AE8" s="135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2"/>
      <c r="I9" s="3"/>
      <c r="J9" s="3"/>
      <c r="K9" s="3"/>
      <c r="L9" s="4"/>
      <c r="O9" s="11" t="s">
        <v>211</v>
      </c>
      <c r="P9"/>
      <c r="Q9" s="135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0">
        <v>97.19</v>
      </c>
      <c r="AD9" s="2">
        <f t="shared" si="0"/>
        <v>2.3799999999999955</v>
      </c>
      <c r="AE9" s="135">
        <f t="shared" si="1"/>
        <v>-1.1305241521069043E-3</v>
      </c>
      <c r="AK9" s="231"/>
      <c r="AN9" s="231"/>
    </row>
    <row r="10" spans="1:40" ht="12.75" customHeight="1" x14ac:dyDescent="0.25">
      <c r="H10" s="71"/>
      <c r="O10" s="11" t="s">
        <v>210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0">
        <v>97.3</v>
      </c>
      <c r="AD10" s="2">
        <f t="shared" si="0"/>
        <v>1.4699999999999989</v>
      </c>
      <c r="AE10" s="135">
        <f t="shared" si="1"/>
        <v>8.2901554404144484E-3</v>
      </c>
    </row>
    <row r="11" spans="1:40" x14ac:dyDescent="0.25">
      <c r="H11" s="71"/>
      <c r="O11" s="11" t="s">
        <v>176</v>
      </c>
      <c r="Q11" s="135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0">
        <v>96.5</v>
      </c>
      <c r="AD11" s="2">
        <f t="shared" si="0"/>
        <v>1.2600000000000051</v>
      </c>
      <c r="AE11" s="135">
        <f t="shared" si="1"/>
        <v>-2.4808765763902896E-3</v>
      </c>
      <c r="AK11" s="231"/>
      <c r="AN11" s="231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0">
        <v>96.74</v>
      </c>
      <c r="AD12" s="2">
        <f t="shared" si="0"/>
        <v>2.1899999999999977</v>
      </c>
      <c r="AE12" s="135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0">
        <v>95.52</v>
      </c>
      <c r="AD13" s="2">
        <f t="shared" si="0"/>
        <v>3.2999999999999972</v>
      </c>
      <c r="AE13" s="135">
        <f t="shared" si="1"/>
        <v>-2.7192178429575331E-2</v>
      </c>
      <c r="AK13" s="231"/>
      <c r="AN13" s="231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0">
        <v>98.19</v>
      </c>
      <c r="AD14" s="2">
        <f t="shared" si="0"/>
        <v>1.6599999999999966</v>
      </c>
      <c r="AE14" s="135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0">
        <v>97.93</v>
      </c>
      <c r="AD15" s="2">
        <f t="shared" si="0"/>
        <v>1.0999999999999943</v>
      </c>
      <c r="AE15" s="135">
        <f t="shared" si="1"/>
        <v>-1.8346753643868619E-3</v>
      </c>
      <c r="AK15" s="231"/>
      <c r="AN15" s="231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0">
        <v>98.11</v>
      </c>
      <c r="AD16" s="2">
        <f t="shared" si="0"/>
        <v>1.2199999999999989</v>
      </c>
      <c r="AE16" s="135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0">
        <v>99.11</v>
      </c>
      <c r="AD17" s="2">
        <f t="shared" si="0"/>
        <v>1.2599999999999909</v>
      </c>
      <c r="AE17" s="135">
        <f t="shared" si="1"/>
        <v>3.2391942504301774E-3</v>
      </c>
      <c r="AK17" s="231"/>
      <c r="AN17" s="231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0">
        <v>98.79</v>
      </c>
      <c r="AD18" s="2">
        <f t="shared" si="0"/>
        <v>0.98999999999999488</v>
      </c>
      <c r="AE18" s="135">
        <f t="shared" si="1"/>
        <v>-2.5242326332794995E-3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0">
        <v>99.04</v>
      </c>
      <c r="AD19" s="2">
        <f t="shared" si="0"/>
        <v>1.2800000000000011</v>
      </c>
      <c r="AE19" s="135">
        <f t="shared" si="1"/>
        <v>8.7594214707680251E-3</v>
      </c>
      <c r="AK19" s="231"/>
      <c r="AN19" s="231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0">
        <v>98.18</v>
      </c>
      <c r="AD20" s="2">
        <f t="shared" si="0"/>
        <v>1.2000000000000028</v>
      </c>
      <c r="AE20" s="135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0">
        <v>97.14</v>
      </c>
      <c r="AD21" s="2">
        <f t="shared" si="0"/>
        <v>2.6099999999999994</v>
      </c>
      <c r="AE21" s="135">
        <f t="shared" si="1"/>
        <v>4.6540490226496534E-3</v>
      </c>
      <c r="AK21" s="231"/>
      <c r="AN21" s="231"/>
    </row>
    <row r="22" spans="1:40" x14ac:dyDescent="0.25">
      <c r="B22" s="188" t="s">
        <v>113</v>
      </c>
      <c r="C22" s="188" t="s">
        <v>146</v>
      </c>
      <c r="D22" s="189" t="s">
        <v>145</v>
      </c>
      <c r="E22" s="191" t="s">
        <v>147</v>
      </c>
      <c r="F22" s="191" t="s">
        <v>65</v>
      </c>
      <c r="G22" s="226" t="s">
        <v>151</v>
      </c>
      <c r="H22" s="226" t="s">
        <v>88</v>
      </c>
      <c r="I22" s="226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0">
        <v>96.69</v>
      </c>
      <c r="AD22" s="2">
        <f t="shared" si="0"/>
        <v>1.519999999999996</v>
      </c>
      <c r="AE22" s="135">
        <f t="shared" si="1"/>
        <v>1.7254076801683338E-2</v>
      </c>
    </row>
    <row r="23" spans="1:40" x14ac:dyDescent="0.25">
      <c r="B23" s="190">
        <v>42546</v>
      </c>
      <c r="C23" s="439">
        <v>60</v>
      </c>
      <c r="D23" s="440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8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0">
        <v>95.05</v>
      </c>
      <c r="AD23" s="2">
        <f t="shared" si="0"/>
        <v>1.2800000000000011</v>
      </c>
      <c r="AE23" s="135">
        <f t="shared" si="1"/>
        <v>-4.1906757464641453E-3</v>
      </c>
      <c r="AK23" s="231"/>
    </row>
    <row r="24" spans="1:40" x14ac:dyDescent="0.25">
      <c r="B24" s="190">
        <v>42548</v>
      </c>
      <c r="C24" s="279">
        <v>60</v>
      </c>
      <c r="D24" s="335">
        <v>60.935000000000002</v>
      </c>
      <c r="E24" s="335">
        <v>58.01</v>
      </c>
      <c r="F24" s="40">
        <f t="shared" si="2"/>
        <v>-175.50000000000026</v>
      </c>
      <c r="G24" s="40">
        <f t="shared" si="3"/>
        <v>3656.1000000000004</v>
      </c>
      <c r="H24" s="228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0">
        <v>95.45</v>
      </c>
      <c r="AD24" s="2">
        <f t="shared" si="0"/>
        <v>2.2799999999999869</v>
      </c>
      <c r="AE24" s="135">
        <f t="shared" si="1"/>
        <v>5.5836493889591665E-3</v>
      </c>
    </row>
    <row r="25" spans="1:40" x14ac:dyDescent="0.25">
      <c r="B25" s="190">
        <v>42549</v>
      </c>
      <c r="C25" s="450">
        <v>120</v>
      </c>
      <c r="D25" s="456">
        <v>60.935000000000002</v>
      </c>
      <c r="E25" s="335">
        <v>60.26</v>
      </c>
      <c r="F25" s="40">
        <f t="shared" si="2"/>
        <v>-81.000000000000512</v>
      </c>
      <c r="G25" s="40">
        <f t="shared" si="3"/>
        <v>7312.2000000000007</v>
      </c>
      <c r="H25" s="228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0">
        <v>94.92</v>
      </c>
      <c r="AD25" s="2">
        <f t="shared" si="0"/>
        <v>1.1599999999999966</v>
      </c>
      <c r="AE25" s="135">
        <f t="shared" si="1"/>
        <v>1.6884761502742318E-3</v>
      </c>
    </row>
    <row r="26" spans="1:40" x14ac:dyDescent="0.25">
      <c r="B26" s="190">
        <v>42550</v>
      </c>
      <c r="C26" s="279">
        <v>120</v>
      </c>
      <c r="D26" s="335">
        <v>60.935000000000002</v>
      </c>
      <c r="E26" s="335">
        <v>61.73</v>
      </c>
      <c r="F26" s="40">
        <f t="shared" si="2"/>
        <v>95.399999999999352</v>
      </c>
      <c r="G26" s="40">
        <f t="shared" si="3"/>
        <v>7312.2000000000007</v>
      </c>
      <c r="H26" s="228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0">
        <v>94.76</v>
      </c>
      <c r="AD26" s="2">
        <f t="shared" si="0"/>
        <v>2.8599999999999994</v>
      </c>
      <c r="AE26" s="135">
        <f t="shared" si="1"/>
        <v>-2.0467231755220028E-2</v>
      </c>
    </row>
    <row r="27" spans="1:40" x14ac:dyDescent="0.25">
      <c r="B27" s="190">
        <v>42551</v>
      </c>
      <c r="C27" s="435">
        <v>60</v>
      </c>
      <c r="D27" s="445">
        <v>59.007199999999997</v>
      </c>
      <c r="E27" s="335">
        <v>63.28</v>
      </c>
      <c r="F27" s="40">
        <f t="shared" si="2"/>
        <v>256.36800000000022</v>
      </c>
      <c r="G27" s="40">
        <f t="shared" si="3"/>
        <v>3540.4319999999998</v>
      </c>
      <c r="H27" s="228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0">
        <v>96.74</v>
      </c>
      <c r="AD27" s="2">
        <f t="shared" si="0"/>
        <v>2.7800000000000011</v>
      </c>
      <c r="AE27" s="135">
        <f t="shared" si="1"/>
        <v>2.0356502478641403E-2</v>
      </c>
    </row>
    <row r="28" spans="1:40" x14ac:dyDescent="0.25">
      <c r="B28" s="190">
        <v>42552</v>
      </c>
      <c r="C28" s="279">
        <v>60</v>
      </c>
      <c r="D28" s="335">
        <v>59.007199999999997</v>
      </c>
      <c r="E28" s="335">
        <v>62.6</v>
      </c>
      <c r="F28" s="40">
        <f t="shared" si="2"/>
        <v>215.56800000000024</v>
      </c>
      <c r="G28" s="40">
        <f t="shared" si="3"/>
        <v>3540.4319999999998</v>
      </c>
      <c r="H28" s="228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0">
        <v>94.81</v>
      </c>
      <c r="AD28" s="2">
        <f t="shared" si="0"/>
        <v>1.8499999999999943</v>
      </c>
      <c r="AE28" s="135">
        <f t="shared" si="1"/>
        <v>-8.5747150475791178E-3</v>
      </c>
    </row>
    <row r="29" spans="1:40" x14ac:dyDescent="0.25">
      <c r="B29" s="190">
        <v>42556</v>
      </c>
      <c r="C29" s="279">
        <v>60</v>
      </c>
      <c r="D29" s="335">
        <v>59.007199999999997</v>
      </c>
      <c r="E29" s="335">
        <v>58.82</v>
      </c>
      <c r="F29" s="40">
        <f t="shared" si="2"/>
        <v>-11.231999999999829</v>
      </c>
      <c r="G29" s="40">
        <f t="shared" si="3"/>
        <v>3540.4319999999998</v>
      </c>
      <c r="H29" s="228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0">
        <v>95.63</v>
      </c>
      <c r="AD29" s="2">
        <f t="shared" si="0"/>
        <v>1.8300000000000125</v>
      </c>
      <c r="AE29" s="135">
        <f t="shared" si="1"/>
        <v>9.8204857444561533E-3</v>
      </c>
    </row>
    <row r="30" spans="1:40" x14ac:dyDescent="0.25">
      <c r="B30" s="190">
        <v>42557</v>
      </c>
      <c r="C30" s="421">
        <v>90</v>
      </c>
      <c r="D30" s="46">
        <v>58.531399999999998</v>
      </c>
      <c r="E30" s="335">
        <v>59.16</v>
      </c>
      <c r="F30" s="40">
        <f t="shared" si="2"/>
        <v>56.573999999999884</v>
      </c>
      <c r="G30" s="40">
        <f t="shared" si="3"/>
        <v>5267.826</v>
      </c>
      <c r="H30" s="228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0">
        <v>94.7</v>
      </c>
      <c r="AD30" s="2">
        <f t="shared" si="0"/>
        <v>1.980000000000004</v>
      </c>
      <c r="AE30" s="135">
        <f t="shared" si="1"/>
        <v>-6.4001678732557021E-3</v>
      </c>
    </row>
    <row r="31" spans="1:40" x14ac:dyDescent="0.25">
      <c r="B31" s="190">
        <v>42562</v>
      </c>
      <c r="C31" s="279">
        <v>90</v>
      </c>
      <c r="D31" s="335">
        <v>58.531399999999998</v>
      </c>
      <c r="E31" s="335">
        <v>64.64</v>
      </c>
      <c r="F31" s="40">
        <f t="shared" si="2"/>
        <v>549.77400000000023</v>
      </c>
      <c r="G31" s="40">
        <f t="shared" si="3"/>
        <v>5267.826</v>
      </c>
      <c r="H31" s="228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0">
        <v>95.31</v>
      </c>
      <c r="AD31" s="2">
        <f t="shared" si="0"/>
        <v>2.6400000000000006</v>
      </c>
      <c r="AE31" s="135">
        <f t="shared" si="1"/>
        <v>-1.4476269258608121E-2</v>
      </c>
    </row>
    <row r="32" spans="1:40" x14ac:dyDescent="0.25">
      <c r="B32" s="190">
        <v>42563</v>
      </c>
      <c r="C32" s="279">
        <v>90</v>
      </c>
      <c r="D32" s="335">
        <v>58.531399999999998</v>
      </c>
      <c r="E32" s="335">
        <v>65.8</v>
      </c>
      <c r="F32" s="40">
        <f t="shared" si="2"/>
        <v>654.17399999999998</v>
      </c>
      <c r="G32" s="40">
        <f t="shared" si="3"/>
        <v>5267.826</v>
      </c>
      <c r="H32" s="228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0">
        <v>96.71</v>
      </c>
      <c r="AD32" s="2">
        <f t="shared" si="0"/>
        <v>1.1299999999999955</v>
      </c>
      <c r="AE32" s="135">
        <f t="shared" si="1"/>
        <v>1.4497255876566584E-3</v>
      </c>
    </row>
    <row r="33" spans="1:31" x14ac:dyDescent="0.25">
      <c r="B33" s="190">
        <v>42569</v>
      </c>
      <c r="C33" s="279">
        <v>90</v>
      </c>
      <c r="D33" s="335">
        <v>58.531399999999998</v>
      </c>
      <c r="E33" s="335">
        <v>68.7</v>
      </c>
      <c r="F33" s="40">
        <f t="shared" si="2"/>
        <v>915.17400000000043</v>
      </c>
      <c r="G33" s="40">
        <f t="shared" si="3"/>
        <v>5267.826</v>
      </c>
      <c r="H33" s="228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0">
        <v>96.57</v>
      </c>
      <c r="AD33" s="2">
        <f t="shared" si="0"/>
        <v>1.8100000000000023</v>
      </c>
      <c r="AE33" s="135">
        <f t="shared" si="1"/>
        <v>2.2833419823560241E-3</v>
      </c>
    </row>
    <row r="34" spans="1:31" x14ac:dyDescent="0.25">
      <c r="B34" s="190">
        <v>42570</v>
      </c>
      <c r="C34" s="279">
        <v>90</v>
      </c>
      <c r="D34" s="335">
        <v>58.531399999999998</v>
      </c>
      <c r="E34" s="335">
        <v>68.33</v>
      </c>
      <c r="F34" s="40">
        <f t="shared" si="2"/>
        <v>881.87400000000002</v>
      </c>
      <c r="G34" s="40">
        <f t="shared" si="3"/>
        <v>5267.826</v>
      </c>
      <c r="H34" s="228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0">
        <v>96.35</v>
      </c>
      <c r="AD34" s="2">
        <f t="shared" si="0"/>
        <v>4.75</v>
      </c>
      <c r="AE34" s="135">
        <f t="shared" si="1"/>
        <v>4.2410472790219478E-2</v>
      </c>
    </row>
    <row r="35" spans="1:31" x14ac:dyDescent="0.25">
      <c r="B35" s="190">
        <v>42571</v>
      </c>
      <c r="C35" s="279">
        <v>90</v>
      </c>
      <c r="D35" s="335">
        <v>58.531399999999998</v>
      </c>
      <c r="E35" s="335">
        <v>69.489999999999995</v>
      </c>
      <c r="F35" s="40">
        <f t="shared" si="2"/>
        <v>986.27399999999977</v>
      </c>
      <c r="G35" s="40">
        <f t="shared" si="3"/>
        <v>5267.826</v>
      </c>
      <c r="H35" s="228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0">
        <v>92.43</v>
      </c>
      <c r="AD35" s="2">
        <f t="shared" si="0"/>
        <v>0.96000000000000796</v>
      </c>
      <c r="AE35" s="135">
        <f t="shared" si="1"/>
        <v>3.2562683165093809E-3</v>
      </c>
    </row>
    <row r="36" spans="1:31" ht="20.25" thickBot="1" x14ac:dyDescent="0.35">
      <c r="B36" s="190">
        <v>42572</v>
      </c>
      <c r="C36" s="279">
        <v>90</v>
      </c>
      <c r="D36" s="335">
        <v>58.531399999999998</v>
      </c>
      <c r="E36" s="335">
        <v>70.92</v>
      </c>
      <c r="F36" s="40">
        <f t="shared" si="2"/>
        <v>1114.9740000000004</v>
      </c>
      <c r="G36" s="40">
        <f t="shared" si="3"/>
        <v>5267.826</v>
      </c>
      <c r="H36" s="228">
        <f t="shared" si="4"/>
        <v>0.21165733264538358</v>
      </c>
      <c r="I36" s="40" t="s">
        <v>251</v>
      </c>
      <c r="O36" s="11"/>
      <c r="P36" s="256" t="s">
        <v>78</v>
      </c>
      <c r="Q36" s="256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0">
        <v>92.13</v>
      </c>
      <c r="AD36" s="2">
        <f t="shared" si="0"/>
        <v>1.3599999999999994</v>
      </c>
      <c r="AE36" s="135">
        <f t="shared" si="1"/>
        <v>3.5947712418300526E-3</v>
      </c>
    </row>
    <row r="37" spans="1:31" ht="15.75" thickTop="1" x14ac:dyDescent="0.25">
      <c r="B37" s="190">
        <v>42575</v>
      </c>
      <c r="C37" s="279">
        <v>110</v>
      </c>
      <c r="D37" s="335">
        <v>59.467500000000001</v>
      </c>
      <c r="E37" s="335">
        <v>64.81</v>
      </c>
      <c r="F37" s="40">
        <f t="shared" si="2"/>
        <v>587.67500000000018</v>
      </c>
      <c r="G37" s="40">
        <f t="shared" si="3"/>
        <v>6541.4250000000002</v>
      </c>
      <c r="H37" s="228">
        <f t="shared" si="4"/>
        <v>8.9838987682347521E-2</v>
      </c>
      <c r="I37" s="40"/>
      <c r="O37" s="2"/>
      <c r="P37" s="82">
        <v>1.1000000000000001</v>
      </c>
      <c r="Q37" s="82">
        <f>P37*$Q$4</f>
        <v>116.38000000000001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0">
        <v>91.8</v>
      </c>
      <c r="AD37" s="2">
        <f t="shared" si="0"/>
        <v>1.9500000000000028</v>
      </c>
      <c r="AE37" s="135">
        <f t="shared" si="1"/>
        <v>-8.9603800064773642E-3</v>
      </c>
    </row>
    <row r="38" spans="1:31" x14ac:dyDescent="0.25">
      <c r="B38" s="190">
        <v>42577</v>
      </c>
      <c r="C38" s="279">
        <v>110</v>
      </c>
      <c r="D38" s="335">
        <v>59.467500000000001</v>
      </c>
      <c r="E38" s="335">
        <v>65.87</v>
      </c>
      <c r="F38" s="40">
        <f t="shared" si="2"/>
        <v>704.27500000000032</v>
      </c>
      <c r="G38" s="40">
        <f t="shared" si="3"/>
        <v>6541.4250000000002</v>
      </c>
      <c r="H38" s="228">
        <f t="shared" si="4"/>
        <v>0.10766385000210205</v>
      </c>
      <c r="I38" s="40" t="s">
        <v>256</v>
      </c>
      <c r="O38" s="2"/>
      <c r="P38" s="82">
        <v>1.0900000000000001</v>
      </c>
      <c r="Q38" s="82">
        <f t="shared" ref="Q38:Q57" si="5">P38*$Q$4</f>
        <v>115.322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0">
        <v>92.63</v>
      </c>
      <c r="AD38" s="2">
        <f t="shared" si="0"/>
        <v>1.0300000000000011</v>
      </c>
      <c r="AE38" s="135">
        <f t="shared" si="1"/>
        <v>4.5548205183820745E-3</v>
      </c>
    </row>
    <row r="39" spans="1:31" ht="20.25" thickBot="1" x14ac:dyDescent="0.35">
      <c r="B39" s="190">
        <v>42585</v>
      </c>
      <c r="C39" s="279">
        <v>110</v>
      </c>
      <c r="D39" s="335">
        <v>59.467500000000001</v>
      </c>
      <c r="E39" s="335">
        <v>65.040000000000006</v>
      </c>
      <c r="F39" s="40">
        <f t="shared" si="2"/>
        <v>612.97500000000059</v>
      </c>
      <c r="G39" s="40">
        <f t="shared" si="3"/>
        <v>6541.4250000000002</v>
      </c>
      <c r="H39" s="228">
        <f t="shared" si="4"/>
        <v>9.370664648757733E-2</v>
      </c>
      <c r="I39" s="40"/>
      <c r="O39" s="2"/>
      <c r="P39" s="82">
        <v>1.08</v>
      </c>
      <c r="Q39" s="82">
        <f t="shared" si="5"/>
        <v>114.26400000000001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0">
        <v>92.21</v>
      </c>
      <c r="AD39" s="2">
        <f t="shared" si="0"/>
        <v>1.3400000000000034</v>
      </c>
      <c r="AE39" s="135">
        <f t="shared" si="1"/>
        <v>-2.8117227208824813E-3</v>
      </c>
    </row>
    <row r="40" spans="1:31" ht="15.75" thickTop="1" x14ac:dyDescent="0.25">
      <c r="B40" s="190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8">
        <f t="shared" si="4"/>
        <v>0.13390444946793845</v>
      </c>
      <c r="I40" s="40"/>
      <c r="O40" s="2"/>
      <c r="P40" s="82">
        <v>1.07</v>
      </c>
      <c r="Q40" s="82">
        <f t="shared" si="5"/>
        <v>113.206</v>
      </c>
      <c r="R40" s="82"/>
      <c r="T40" s="96" t="s">
        <v>97</v>
      </c>
      <c r="U40" s="127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0">
        <v>92.47</v>
      </c>
      <c r="AD40" s="2">
        <f t="shared" si="0"/>
        <v>1.8900000000000006</v>
      </c>
      <c r="AE40" s="135">
        <f t="shared" si="1"/>
        <v>8.5069255098702001E-3</v>
      </c>
    </row>
    <row r="41" spans="1:31" x14ac:dyDescent="0.25">
      <c r="B41" s="190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8">
        <f t="shared" si="4"/>
        <v>1.6223446402294079</v>
      </c>
      <c r="I41" s="40"/>
      <c r="O41" s="2"/>
      <c r="P41" s="82">
        <v>1.06</v>
      </c>
      <c r="Q41" s="82">
        <f t="shared" si="5"/>
        <v>112.148</v>
      </c>
      <c r="R41" s="82"/>
      <c r="T41" s="86" t="s">
        <v>98</v>
      </c>
      <c r="U41" s="128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0">
        <v>91.69</v>
      </c>
      <c r="AD41" s="2">
        <f t="shared" si="0"/>
        <v>1.4000000000000057</v>
      </c>
      <c r="AE41" s="135">
        <f t="shared" si="1"/>
        <v>-9.8060579646985779E-4</v>
      </c>
    </row>
    <row r="42" spans="1:31" x14ac:dyDescent="0.25">
      <c r="B42" s="190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8">
        <f t="shared" si="4"/>
        <v>1.7091272686111005</v>
      </c>
      <c r="I42" s="40"/>
      <c r="O42" s="2"/>
      <c r="P42" s="82">
        <v>1.05</v>
      </c>
      <c r="Q42" s="82">
        <f t="shared" si="5"/>
        <v>111.09</v>
      </c>
      <c r="R42" s="82"/>
      <c r="T42" s="86" t="s">
        <v>99</v>
      </c>
      <c r="U42" s="128" t="s">
        <v>677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0">
        <v>91.78</v>
      </c>
      <c r="AD42" s="2">
        <f t="shared" si="0"/>
        <v>1.0300000000000011</v>
      </c>
      <c r="AE42" s="135">
        <f t="shared" si="1"/>
        <v>4.2674253200569723E-3</v>
      </c>
    </row>
    <row r="43" spans="1:31" x14ac:dyDescent="0.25">
      <c r="B43" s="190">
        <v>42604</v>
      </c>
      <c r="C43" s="10">
        <v>0</v>
      </c>
      <c r="D43" s="40"/>
      <c r="E43" s="40"/>
      <c r="F43" s="40">
        <v>923.51</v>
      </c>
      <c r="G43" s="40"/>
      <c r="H43" s="228"/>
      <c r="I43" s="40"/>
      <c r="O43" s="2"/>
      <c r="P43" s="82">
        <v>1.04</v>
      </c>
      <c r="Q43" s="82">
        <f t="shared" si="5"/>
        <v>110.032</v>
      </c>
      <c r="R43" s="82"/>
      <c r="T43" s="86" t="s">
        <v>100</v>
      </c>
      <c r="U43" s="128" t="s">
        <v>678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0">
        <v>91.39</v>
      </c>
      <c r="AD43" s="2">
        <f t="shared" si="0"/>
        <v>0.87000000000000455</v>
      </c>
      <c r="AE43" s="135">
        <f t="shared" si="1"/>
        <v>-1.8567059851464229E-3</v>
      </c>
    </row>
    <row r="44" spans="1:31" x14ac:dyDescent="0.25">
      <c r="B44" s="190"/>
      <c r="C44" s="10"/>
      <c r="D44" s="40"/>
      <c r="E44" s="40"/>
      <c r="F44" s="40"/>
      <c r="G44" s="40"/>
      <c r="H44" s="228"/>
      <c r="I44" s="40"/>
      <c r="O44" s="2"/>
      <c r="P44" s="82">
        <v>1.03</v>
      </c>
      <c r="Q44" s="82">
        <f t="shared" si="5"/>
        <v>108.974</v>
      </c>
      <c r="R44" s="82"/>
      <c r="T44" s="86" t="s">
        <v>101</v>
      </c>
      <c r="U44" s="128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0">
        <v>91.56</v>
      </c>
      <c r="AD44" s="2">
        <f t="shared" si="0"/>
        <v>1.0300000000000011</v>
      </c>
      <c r="AE44" s="135">
        <f t="shared" si="1"/>
        <v>4.9390846229833141E-3</v>
      </c>
    </row>
    <row r="45" spans="1:31" x14ac:dyDescent="0.25">
      <c r="B45" s="190"/>
      <c r="C45" s="10"/>
      <c r="D45" s="40"/>
      <c r="E45" s="40"/>
      <c r="F45" s="40"/>
      <c r="G45" s="40"/>
      <c r="H45" s="228"/>
      <c r="I45" s="40"/>
      <c r="O45" s="2"/>
      <c r="P45" s="82">
        <v>1.02</v>
      </c>
      <c r="Q45" s="82">
        <f t="shared" si="5"/>
        <v>107.916</v>
      </c>
      <c r="R45" s="82"/>
      <c r="T45" s="86" t="s">
        <v>102</v>
      </c>
      <c r="U45" s="128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0">
        <v>91.11</v>
      </c>
      <c r="AD45" s="2">
        <f t="shared" si="0"/>
        <v>1.480000000000004</v>
      </c>
      <c r="AE45" s="135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106.858</v>
      </c>
      <c r="R46" s="82"/>
      <c r="T46" s="86" t="s">
        <v>121</v>
      </c>
      <c r="U46" s="93" t="s">
        <v>389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0">
        <v>91.74</v>
      </c>
      <c r="AD46" s="2">
        <f t="shared" si="0"/>
        <v>3.1799999999999926</v>
      </c>
      <c r="AE46" s="135">
        <f t="shared" si="1"/>
        <v>0</v>
      </c>
    </row>
    <row r="47" spans="1:31" x14ac:dyDescent="0.25">
      <c r="O47" s="2"/>
      <c r="P47" s="82">
        <v>1</v>
      </c>
      <c r="Q47" s="82">
        <f t="shared" si="5"/>
        <v>105.8</v>
      </c>
      <c r="R47" s="82"/>
      <c r="T47" s="86"/>
      <c r="U47" s="128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0">
        <v>91.74</v>
      </c>
      <c r="AD47" s="2">
        <f t="shared" si="0"/>
        <v>2.2000000000000028</v>
      </c>
      <c r="AE47" s="135" t="e">
        <f t="shared" si="1"/>
        <v>#DIV/0!</v>
      </c>
    </row>
    <row r="48" spans="1:31" x14ac:dyDescent="0.25">
      <c r="A48" s="258"/>
      <c r="B48" s="258"/>
      <c r="C48" s="258"/>
      <c r="D48" s="259"/>
      <c r="E48" s="259"/>
      <c r="F48" s="259"/>
      <c r="G48" s="258"/>
      <c r="H48" s="258"/>
      <c r="I48" s="259"/>
      <c r="J48" s="259"/>
      <c r="K48" s="259"/>
      <c r="L48" s="258" t="s">
        <v>65</v>
      </c>
      <c r="M48" s="366">
        <f>M74+K74-F74</f>
        <v>1368.9000000000015</v>
      </c>
      <c r="O48" s="2"/>
      <c r="P48" s="82">
        <v>0.99</v>
      </c>
      <c r="Q48" s="82">
        <f t="shared" si="5"/>
        <v>104.74199999999999</v>
      </c>
      <c r="R48" s="82"/>
      <c r="T48" s="86" t="s">
        <v>104</v>
      </c>
      <c r="U48" s="128" t="s">
        <v>679</v>
      </c>
      <c r="W48" s="93">
        <v>42766</v>
      </c>
      <c r="X48" s="10" t="s">
        <v>325</v>
      </c>
      <c r="Y48" s="40"/>
      <c r="Z48" s="40"/>
      <c r="AA48" s="10"/>
      <c r="AB48" s="94"/>
      <c r="AC48" s="240"/>
      <c r="AD48" s="2">
        <f t="shared" si="0"/>
        <v>0</v>
      </c>
      <c r="AE48" s="135">
        <f t="shared" si="1"/>
        <v>-1</v>
      </c>
    </row>
    <row r="49" spans="1:31" x14ac:dyDescent="0.25">
      <c r="A49" s="260" t="s">
        <v>1</v>
      </c>
      <c r="B49" s="260" t="s">
        <v>2</v>
      </c>
      <c r="C49" s="260" t="s">
        <v>4</v>
      </c>
      <c r="D49" s="261" t="s">
        <v>5</v>
      </c>
      <c r="E49" s="261" t="s">
        <v>90</v>
      </c>
      <c r="F49" s="261" t="s">
        <v>60</v>
      </c>
      <c r="G49" s="260" t="s">
        <v>3</v>
      </c>
      <c r="H49" s="260" t="s">
        <v>6</v>
      </c>
      <c r="I49" s="261" t="s">
        <v>7</v>
      </c>
      <c r="J49" s="261" t="s">
        <v>89</v>
      </c>
      <c r="K49" s="261" t="s">
        <v>61</v>
      </c>
      <c r="L49" s="260" t="s">
        <v>77</v>
      </c>
      <c r="M49" s="260" t="s">
        <v>38</v>
      </c>
      <c r="O49" s="2"/>
      <c r="P49" s="82">
        <v>0.98</v>
      </c>
      <c r="Q49" s="82">
        <f t="shared" si="5"/>
        <v>103.684</v>
      </c>
      <c r="R49" s="82"/>
      <c r="T49" s="86" t="s">
        <v>105</v>
      </c>
      <c r="U49" s="128" t="s">
        <v>680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0">
        <v>92.71</v>
      </c>
      <c r="AD49" s="2">
        <f t="shared" si="0"/>
        <v>2.8599999999999994</v>
      </c>
      <c r="AE49" s="135">
        <f t="shared" si="1"/>
        <v>1.0683527744467236E-2</v>
      </c>
    </row>
    <row r="50" spans="1:31" x14ac:dyDescent="0.25">
      <c r="A50" s="262" t="s">
        <v>170</v>
      </c>
      <c r="B50" s="263">
        <v>42374</v>
      </c>
      <c r="C50" s="258">
        <v>30</v>
      </c>
      <c r="D50" s="259">
        <v>73.8</v>
      </c>
      <c r="E50" s="259">
        <v>0</v>
      </c>
      <c r="F50" s="259">
        <f t="shared" ref="F50:F55" si="6">C50*D50+E50</f>
        <v>2214</v>
      </c>
      <c r="G50" s="263">
        <v>42398</v>
      </c>
      <c r="H50" s="264">
        <v>30</v>
      </c>
      <c r="I50" s="259">
        <v>68.8</v>
      </c>
      <c r="J50" s="259">
        <v>0.04</v>
      </c>
      <c r="K50" s="259">
        <f t="shared" ref="K50:K55" si="7">I50*H50-J50</f>
        <v>2063.96</v>
      </c>
      <c r="L50" s="263">
        <v>42432</v>
      </c>
      <c r="M50" s="259">
        <v>31.2</v>
      </c>
      <c r="O50" s="2"/>
      <c r="P50" s="82">
        <v>0.97</v>
      </c>
      <c r="Q50" s="82">
        <f t="shared" si="5"/>
        <v>102.62599999999999</v>
      </c>
      <c r="R50" s="82"/>
      <c r="T50" s="86" t="s">
        <v>106</v>
      </c>
      <c r="U50" s="129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0">
        <v>91.73</v>
      </c>
      <c r="AD50" s="2">
        <f t="shared" si="0"/>
        <v>1.1899999999999977</v>
      </c>
      <c r="AE50" s="135">
        <f t="shared" si="1"/>
        <v>1.0910293145250272E-2</v>
      </c>
    </row>
    <row r="51" spans="1:31" x14ac:dyDescent="0.25">
      <c r="A51" s="265"/>
      <c r="B51" s="263">
        <v>42375</v>
      </c>
      <c r="C51" s="258">
        <v>30</v>
      </c>
      <c r="D51" s="259">
        <v>69.3</v>
      </c>
      <c r="E51" s="259">
        <v>0</v>
      </c>
      <c r="F51" s="259">
        <f t="shared" si="6"/>
        <v>2079</v>
      </c>
      <c r="G51" s="263">
        <v>42416</v>
      </c>
      <c r="H51" s="258">
        <v>30</v>
      </c>
      <c r="I51" s="259">
        <v>61.3</v>
      </c>
      <c r="J51" s="259">
        <v>0.04</v>
      </c>
      <c r="K51" s="259">
        <f t="shared" si="7"/>
        <v>1838.96</v>
      </c>
      <c r="L51" s="258"/>
      <c r="M51" s="258"/>
      <c r="O51" s="2"/>
      <c r="P51" s="82">
        <v>0.96</v>
      </c>
      <c r="Q51" s="82">
        <f t="shared" si="5"/>
        <v>101.568</v>
      </c>
      <c r="R51" s="82"/>
      <c r="T51" s="86" t="s">
        <v>109</v>
      </c>
      <c r="U51" s="129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0">
        <v>90.74</v>
      </c>
      <c r="AD51" s="2">
        <f t="shared" si="0"/>
        <v>1.7000000000000028</v>
      </c>
      <c r="AE51" s="135">
        <f t="shared" si="1"/>
        <v>-9.280489136368697E-3</v>
      </c>
    </row>
    <row r="52" spans="1:31" x14ac:dyDescent="0.25">
      <c r="A52" s="258"/>
      <c r="B52" s="263">
        <v>42380</v>
      </c>
      <c r="C52" s="258">
        <v>30</v>
      </c>
      <c r="D52" s="259">
        <v>65.400000000000006</v>
      </c>
      <c r="E52" s="259">
        <v>0</v>
      </c>
      <c r="F52" s="259">
        <f t="shared" si="6"/>
        <v>1962.0000000000002</v>
      </c>
      <c r="G52" s="263">
        <v>42429</v>
      </c>
      <c r="H52" s="264">
        <v>30</v>
      </c>
      <c r="I52" s="259">
        <v>67.5</v>
      </c>
      <c r="J52" s="259">
        <v>0.04</v>
      </c>
      <c r="K52" s="259">
        <f t="shared" si="7"/>
        <v>2024.96</v>
      </c>
      <c r="L52" s="258"/>
      <c r="M52" s="258"/>
      <c r="O52" s="2"/>
      <c r="P52" s="82">
        <v>0.95</v>
      </c>
      <c r="Q52" s="82">
        <f t="shared" si="5"/>
        <v>100.50999999999999</v>
      </c>
      <c r="R52" s="82"/>
      <c r="T52" s="86" t="s">
        <v>107</v>
      </c>
      <c r="U52" s="128" t="s">
        <v>681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0">
        <v>91.59</v>
      </c>
      <c r="AD52" s="2">
        <f t="shared" si="0"/>
        <v>2.460000000000008</v>
      </c>
      <c r="AE52" s="135">
        <f t="shared" si="1"/>
        <v>-4.3482987281224794E-3</v>
      </c>
    </row>
    <row r="53" spans="1:31" x14ac:dyDescent="0.25">
      <c r="A53" s="258"/>
      <c r="B53" s="263">
        <v>42402</v>
      </c>
      <c r="C53" s="272">
        <v>30</v>
      </c>
      <c r="D53" s="365">
        <v>67.2</v>
      </c>
      <c r="E53" s="365">
        <v>0</v>
      </c>
      <c r="F53" s="365">
        <f t="shared" si="6"/>
        <v>2016</v>
      </c>
      <c r="G53" s="263">
        <v>42430</v>
      </c>
      <c r="H53" s="264">
        <v>30</v>
      </c>
      <c r="I53" s="259">
        <v>69.349999999999994</v>
      </c>
      <c r="J53" s="259">
        <v>0.05</v>
      </c>
      <c r="K53" s="259">
        <f t="shared" si="7"/>
        <v>2080.4499999999998</v>
      </c>
      <c r="L53" s="258"/>
      <c r="M53" s="258"/>
      <c r="O53" s="2"/>
      <c r="P53" s="82">
        <v>0.94</v>
      </c>
      <c r="Q53" s="82">
        <f t="shared" si="5"/>
        <v>99.451999999999998</v>
      </c>
      <c r="R53" s="82"/>
      <c r="T53" s="86" t="s">
        <v>110</v>
      </c>
      <c r="U53" s="128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0">
        <v>91.99</v>
      </c>
      <c r="AD53" s="2">
        <f t="shared" si="0"/>
        <v>2.4299999999999926</v>
      </c>
      <c r="AE53" s="135">
        <f t="shared" si="1"/>
        <v>2.3248053392658452E-2</v>
      </c>
    </row>
    <row r="54" spans="1:31" x14ac:dyDescent="0.25">
      <c r="A54" s="258"/>
      <c r="B54" s="263">
        <v>42405</v>
      </c>
      <c r="C54" s="258">
        <v>30</v>
      </c>
      <c r="D54" s="259">
        <v>62.75</v>
      </c>
      <c r="E54" s="259">
        <v>0</v>
      </c>
      <c r="F54" s="259">
        <f t="shared" si="6"/>
        <v>1882.5</v>
      </c>
      <c r="G54" s="263">
        <v>42433</v>
      </c>
      <c r="H54" s="264">
        <v>30</v>
      </c>
      <c r="I54" s="259">
        <v>73.45</v>
      </c>
      <c r="J54" s="259">
        <v>0.05</v>
      </c>
      <c r="K54" s="259">
        <f t="shared" si="7"/>
        <v>2203.4499999999998</v>
      </c>
      <c r="L54" s="258"/>
      <c r="M54" s="258"/>
      <c r="O54" s="2"/>
      <c r="P54" s="82">
        <v>0.93</v>
      </c>
      <c r="Q54" s="82">
        <f t="shared" si="5"/>
        <v>98.394000000000005</v>
      </c>
      <c r="R54" s="82"/>
      <c r="T54" s="86" t="s">
        <v>111</v>
      </c>
      <c r="U54" s="128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0">
        <v>89.9</v>
      </c>
      <c r="AD54" s="2">
        <f t="shared" si="0"/>
        <v>3.3499999999999943</v>
      </c>
      <c r="AE54" s="135">
        <f t="shared" si="1"/>
        <v>1.6968325791855143E-2</v>
      </c>
    </row>
    <row r="55" spans="1:31" x14ac:dyDescent="0.25">
      <c r="A55" s="258"/>
      <c r="B55" s="263">
        <v>42429</v>
      </c>
      <c r="C55" s="258">
        <v>30</v>
      </c>
      <c r="D55" s="259">
        <v>66.75</v>
      </c>
      <c r="E55" s="259">
        <v>0</v>
      </c>
      <c r="F55" s="259">
        <f t="shared" si="6"/>
        <v>2002.5</v>
      </c>
      <c r="G55" s="263">
        <v>42440</v>
      </c>
      <c r="H55" s="264">
        <v>30</v>
      </c>
      <c r="I55" s="259">
        <v>72.55</v>
      </c>
      <c r="J55" s="259">
        <v>0.05</v>
      </c>
      <c r="K55" s="259">
        <f t="shared" si="7"/>
        <v>2176.4499999999998</v>
      </c>
      <c r="L55" s="258"/>
      <c r="M55" s="258"/>
      <c r="O55" s="2"/>
      <c r="P55" s="82">
        <v>0.92</v>
      </c>
      <c r="Q55" s="82">
        <f t="shared" si="5"/>
        <v>97.335999999999999</v>
      </c>
      <c r="R55" s="82"/>
      <c r="T55" s="86" t="s">
        <v>108</v>
      </c>
      <c r="U55" s="128" t="s">
        <v>573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0">
        <v>88.4</v>
      </c>
      <c r="AD55" s="2">
        <f t="shared" si="0"/>
        <v>4.210000000000008</v>
      </c>
      <c r="AE55" s="135">
        <f t="shared" si="1"/>
        <v>0.13014574277678359</v>
      </c>
    </row>
    <row r="56" spans="1:31" x14ac:dyDescent="0.25">
      <c r="A56" s="258"/>
      <c r="B56" s="263">
        <v>42502</v>
      </c>
      <c r="C56" s="258">
        <v>30</v>
      </c>
      <c r="D56" s="259">
        <v>61.79</v>
      </c>
      <c r="E56" s="259">
        <v>0</v>
      </c>
      <c r="F56" s="259">
        <v>1853.7</v>
      </c>
      <c r="G56" s="258">
        <v>42544</v>
      </c>
      <c r="H56" s="258">
        <v>30</v>
      </c>
      <c r="I56" s="259">
        <v>66.83</v>
      </c>
      <c r="J56" s="259">
        <v>0.04</v>
      </c>
      <c r="K56" s="259">
        <v>2004.86</v>
      </c>
      <c r="L56" s="258"/>
      <c r="M56" s="258"/>
      <c r="O56" s="2"/>
      <c r="P56" s="82">
        <v>0.91</v>
      </c>
      <c r="Q56" s="82">
        <f t="shared" si="5"/>
        <v>96.278000000000006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0">
        <v>78.22</v>
      </c>
      <c r="AD56" s="2">
        <f t="shared" si="0"/>
        <v>1.269999999999996</v>
      </c>
      <c r="AE56" s="135">
        <f t="shared" si="1"/>
        <v>-1.0249272428191847E-2</v>
      </c>
    </row>
    <row r="57" spans="1:31" x14ac:dyDescent="0.25">
      <c r="A57" s="258"/>
      <c r="B57" s="258"/>
      <c r="C57" s="258"/>
      <c r="D57" s="259"/>
      <c r="E57" s="259"/>
      <c r="F57" s="259"/>
      <c r="G57" s="258"/>
      <c r="H57" s="258"/>
      <c r="I57" s="259"/>
      <c r="J57" s="259"/>
      <c r="K57" s="259"/>
      <c r="L57" s="258"/>
      <c r="M57" s="258"/>
      <c r="O57" s="2"/>
      <c r="P57" s="82">
        <v>0.9</v>
      </c>
      <c r="Q57" s="82">
        <f t="shared" si="5"/>
        <v>95.22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0">
        <v>79.03</v>
      </c>
      <c r="AD57" s="2">
        <f t="shared" si="0"/>
        <v>2.1099999999999994</v>
      </c>
      <c r="AE57" s="135">
        <f t="shared" si="1"/>
        <v>3.0915731802765523E-2</v>
      </c>
    </row>
    <row r="58" spans="1:31" x14ac:dyDescent="0.25">
      <c r="A58" s="262"/>
      <c r="B58" s="263">
        <v>42545</v>
      </c>
      <c r="C58" s="258">
        <v>60</v>
      </c>
      <c r="D58" s="259">
        <v>63.32</v>
      </c>
      <c r="E58" s="259">
        <v>0</v>
      </c>
      <c r="F58" s="259">
        <f>C58*D58+E58</f>
        <v>3799.2</v>
      </c>
      <c r="G58" s="263">
        <v>42551</v>
      </c>
      <c r="H58" s="264">
        <v>60</v>
      </c>
      <c r="I58" s="259">
        <v>62.98</v>
      </c>
      <c r="J58" s="259">
        <v>7.03</v>
      </c>
      <c r="K58" s="259">
        <f>I58*H58-J58</f>
        <v>3771.7699999999995</v>
      </c>
      <c r="L58" s="263">
        <v>42607</v>
      </c>
      <c r="M58" s="259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0">
        <v>76.66</v>
      </c>
      <c r="AD58" s="2">
        <f t="shared" si="0"/>
        <v>1.9400000000000119</v>
      </c>
      <c r="AE58" s="135">
        <f t="shared" si="1"/>
        <v>-1.8312203867332677E-2</v>
      </c>
    </row>
    <row r="59" spans="1:31" x14ac:dyDescent="0.25">
      <c r="A59" s="265"/>
      <c r="B59" s="263">
        <v>42548</v>
      </c>
      <c r="C59" s="258">
        <v>60</v>
      </c>
      <c r="D59" s="259">
        <v>58.55</v>
      </c>
      <c r="E59" s="259">
        <v>0</v>
      </c>
      <c r="F59" s="259">
        <f>C59*D59+E59</f>
        <v>3513</v>
      </c>
      <c r="G59" s="263">
        <v>42587</v>
      </c>
      <c r="H59" s="264">
        <v>20</v>
      </c>
      <c r="I59" s="259">
        <v>65.900000000000006</v>
      </c>
      <c r="J59" s="259">
        <v>0.03</v>
      </c>
      <c r="K59" s="259">
        <f>I59*H59-J59</f>
        <v>1317.97</v>
      </c>
      <c r="L59" s="258"/>
      <c r="M59" s="258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0">
        <v>78.09</v>
      </c>
      <c r="AD59" s="2">
        <f t="shared" si="0"/>
        <v>1.7999999999999972</v>
      </c>
      <c r="AE59" s="135">
        <f t="shared" si="1"/>
        <v>2.0517511761630969E-2</v>
      </c>
    </row>
    <row r="60" spans="1:31" x14ac:dyDescent="0.25">
      <c r="A60" s="258"/>
      <c r="B60" s="263">
        <v>42557</v>
      </c>
      <c r="C60" s="258">
        <v>30</v>
      </c>
      <c r="D60" s="259">
        <v>57.58</v>
      </c>
      <c r="E60" s="259">
        <v>0</v>
      </c>
      <c r="F60" s="259">
        <f>C60*D60+E60</f>
        <v>1727.3999999999999</v>
      </c>
      <c r="G60" s="263">
        <v>42593</v>
      </c>
      <c r="H60" s="264">
        <v>70</v>
      </c>
      <c r="I60" s="259">
        <v>67.05</v>
      </c>
      <c r="J60" s="259">
        <v>0.1</v>
      </c>
      <c r="K60" s="259">
        <f>I60*H60-J60</f>
        <v>4693.3999999999996</v>
      </c>
      <c r="L60" s="258"/>
      <c r="M60" s="258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0">
        <v>76.52</v>
      </c>
      <c r="AD60" s="2">
        <f t="shared" si="0"/>
        <v>2.2399999999999949</v>
      </c>
      <c r="AE60" s="135">
        <f t="shared" si="1"/>
        <v>-2.1107841883075462E-2</v>
      </c>
    </row>
    <row r="61" spans="1:31" x14ac:dyDescent="0.25">
      <c r="A61" s="258"/>
      <c r="B61" s="263">
        <v>42573</v>
      </c>
      <c r="C61" s="272">
        <v>20</v>
      </c>
      <c r="D61" s="365">
        <v>63.68</v>
      </c>
      <c r="E61" s="365">
        <v>0</v>
      </c>
      <c r="F61" s="259">
        <f>C61*D61+E61</f>
        <v>1273.5999999999999</v>
      </c>
      <c r="G61" s="263">
        <v>42604</v>
      </c>
      <c r="H61" s="264">
        <v>20</v>
      </c>
      <c r="I61" s="259">
        <v>72.680000000000007</v>
      </c>
      <c r="J61" s="259">
        <v>0.03</v>
      </c>
      <c r="K61" s="259">
        <f>I61*H61-J61</f>
        <v>1453.5700000000002</v>
      </c>
      <c r="L61" s="258"/>
      <c r="M61" s="258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0">
        <v>78.17</v>
      </c>
      <c r="AD61" s="2">
        <f t="shared" si="0"/>
        <v>2.2099999999999937</v>
      </c>
      <c r="AE61" s="135">
        <f t="shared" si="1"/>
        <v>1.4141152049818473E-2</v>
      </c>
    </row>
    <row r="62" spans="1:31" x14ac:dyDescent="0.25">
      <c r="A62" s="258"/>
      <c r="B62" s="263"/>
      <c r="C62" s="258"/>
      <c r="D62" s="259"/>
      <c r="E62" s="259"/>
      <c r="F62" s="259"/>
      <c r="G62" s="263"/>
      <c r="H62" s="264"/>
      <c r="I62" s="259"/>
      <c r="J62" s="259"/>
      <c r="K62" s="259"/>
      <c r="L62" s="258"/>
      <c r="M62" s="258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0">
        <v>77.08</v>
      </c>
      <c r="AD62" s="2">
        <f t="shared" si="0"/>
        <v>1.8599999999999994</v>
      </c>
      <c r="AE62" s="135">
        <f t="shared" si="1"/>
        <v>2.2010076902678311E-2</v>
      </c>
    </row>
    <row r="63" spans="1:31" x14ac:dyDescent="0.25">
      <c r="A63" s="258"/>
      <c r="B63" s="263"/>
      <c r="C63" s="258"/>
      <c r="D63" s="259"/>
      <c r="E63" s="259"/>
      <c r="F63" s="259"/>
      <c r="G63" s="263"/>
      <c r="H63" s="264"/>
      <c r="I63" s="259"/>
      <c r="J63" s="259"/>
      <c r="K63" s="259"/>
      <c r="L63" s="258"/>
      <c r="M63" s="258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0">
        <v>75.42</v>
      </c>
      <c r="AD63" s="2">
        <f t="shared" si="0"/>
        <v>1.7299999999999898</v>
      </c>
      <c r="AE63" s="135">
        <f t="shared" si="1"/>
        <v>9.233239662786108E-3</v>
      </c>
    </row>
    <row r="64" spans="1:31" x14ac:dyDescent="0.25">
      <c r="A64" s="258"/>
      <c r="B64" s="258"/>
      <c r="C64" s="258"/>
      <c r="D64" s="259"/>
      <c r="E64" s="259"/>
      <c r="F64" s="259"/>
      <c r="G64" s="258"/>
      <c r="H64" s="264"/>
      <c r="I64" s="259"/>
      <c r="J64" s="259"/>
      <c r="K64" s="259"/>
      <c r="L64" s="258"/>
      <c r="M64" s="258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0">
        <v>74.73</v>
      </c>
      <c r="AD64" s="2">
        <f t="shared" si="0"/>
        <v>1.1600000000000108</v>
      </c>
      <c r="AE64" s="135">
        <f t="shared" si="1"/>
        <v>5.1109616677875724E-3</v>
      </c>
    </row>
    <row r="65" spans="1:31" x14ac:dyDescent="0.25">
      <c r="A65" s="258"/>
      <c r="B65" s="258"/>
      <c r="C65" s="258"/>
      <c r="D65" s="259"/>
      <c r="E65" s="259"/>
      <c r="F65" s="259"/>
      <c r="G65" s="258"/>
      <c r="H65" s="264"/>
      <c r="I65" s="259"/>
      <c r="J65" s="259"/>
      <c r="K65" s="259"/>
      <c r="L65" s="258"/>
      <c r="M65" s="258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0">
        <v>74.349999999999994</v>
      </c>
      <c r="AD65" s="2">
        <f t="shared" si="0"/>
        <v>1.4399999999999977</v>
      </c>
      <c r="AE65" s="135">
        <f t="shared" si="1"/>
        <v>-5.4842161583735782E-3</v>
      </c>
    </row>
    <row r="66" spans="1:31" x14ac:dyDescent="0.25">
      <c r="A66" s="258"/>
      <c r="B66" s="258"/>
      <c r="C66" s="258"/>
      <c r="D66" s="259"/>
      <c r="E66" s="259"/>
      <c r="F66" s="259"/>
      <c r="G66" s="258"/>
      <c r="H66" s="264"/>
      <c r="I66" s="259"/>
      <c r="J66" s="259"/>
      <c r="K66" s="259"/>
      <c r="L66" s="258"/>
      <c r="M66" s="258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0">
        <v>74.760000000000005</v>
      </c>
      <c r="AD66" s="2">
        <f t="shared" si="0"/>
        <v>1.1599999999999966</v>
      </c>
      <c r="AE66" s="135">
        <f t="shared" si="1"/>
        <v>-2.1356113187399606E-3</v>
      </c>
    </row>
    <row r="67" spans="1:31" x14ac:dyDescent="0.25">
      <c r="A67" s="258"/>
      <c r="B67" s="258"/>
      <c r="C67" s="258"/>
      <c r="D67" s="259"/>
      <c r="E67" s="259"/>
      <c r="F67" s="259"/>
      <c r="G67" s="258"/>
      <c r="H67" s="264"/>
      <c r="I67" s="259"/>
      <c r="J67" s="259"/>
      <c r="K67" s="259"/>
      <c r="L67" s="258"/>
      <c r="M67" s="258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0">
        <v>74.92</v>
      </c>
      <c r="AD67" s="2">
        <f t="shared" si="0"/>
        <v>1.8399999999999892</v>
      </c>
      <c r="AE67" s="135" t="e">
        <f>AC67/#REF!-1</f>
        <v>#REF!</v>
      </c>
    </row>
    <row r="68" spans="1:31" x14ac:dyDescent="0.25">
      <c r="A68" s="258"/>
      <c r="B68" s="258"/>
      <c r="C68" s="258"/>
      <c r="D68" s="259"/>
      <c r="E68" s="259"/>
      <c r="F68" s="259"/>
      <c r="G68" s="258"/>
      <c r="H68" s="264"/>
      <c r="I68" s="259"/>
      <c r="J68" s="259"/>
      <c r="K68" s="259"/>
      <c r="L68" s="258"/>
      <c r="M68" s="258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0">
        <v>74.44</v>
      </c>
      <c r="AD68" s="2" t="e">
        <f>#REF!-#REF!</f>
        <v>#REF!</v>
      </c>
      <c r="AE68" s="135" t="e">
        <f>#REF!/#REF!-1</f>
        <v>#REF!</v>
      </c>
    </row>
    <row r="69" spans="1:31" x14ac:dyDescent="0.25">
      <c r="A69" s="258"/>
      <c r="B69" s="258"/>
      <c r="C69" s="258"/>
      <c r="D69" s="259"/>
      <c r="E69" s="259"/>
      <c r="F69" s="259"/>
      <c r="G69" s="258"/>
      <c r="H69" s="264"/>
      <c r="I69" s="259"/>
      <c r="J69" s="259"/>
      <c r="K69" s="259"/>
      <c r="L69" s="258"/>
      <c r="M69" s="258"/>
      <c r="W69" s="93" t="s">
        <v>120</v>
      </c>
      <c r="X69" s="10"/>
      <c r="Y69" s="40"/>
      <c r="Z69" s="40"/>
      <c r="AA69" s="10"/>
      <c r="AB69" s="94"/>
      <c r="AC69" s="240"/>
      <c r="AD69" s="2" t="e">
        <f>#REF!-#REF!</f>
        <v>#REF!</v>
      </c>
      <c r="AE69" s="135" t="e">
        <f>#REF!/AC69-1</f>
        <v>#REF!</v>
      </c>
    </row>
    <row r="70" spans="1:31" x14ac:dyDescent="0.25">
      <c r="A70" s="258"/>
      <c r="B70" s="258"/>
      <c r="C70" s="258"/>
      <c r="D70" s="259"/>
      <c r="E70" s="259"/>
      <c r="F70" s="259"/>
      <c r="G70" s="258"/>
      <c r="H70" s="264"/>
      <c r="I70" s="259"/>
      <c r="J70" s="259"/>
      <c r="K70" s="259"/>
      <c r="L70" s="258"/>
      <c r="M70" s="258"/>
    </row>
    <row r="71" spans="1:31" x14ac:dyDescent="0.25">
      <c r="A71" s="258"/>
      <c r="B71" s="258"/>
      <c r="C71" s="258"/>
      <c r="D71" s="259"/>
      <c r="E71" s="259"/>
      <c r="F71" s="259"/>
      <c r="G71" s="258"/>
      <c r="H71" s="264"/>
      <c r="I71" s="259"/>
      <c r="J71" s="259"/>
      <c r="K71" s="259"/>
      <c r="L71" s="258"/>
      <c r="M71" s="258"/>
    </row>
    <row r="72" spans="1:31" x14ac:dyDescent="0.25">
      <c r="A72" s="258"/>
      <c r="B72" s="258"/>
      <c r="C72" s="258"/>
      <c r="D72" s="259"/>
      <c r="E72" s="259"/>
      <c r="F72" s="259"/>
      <c r="G72" s="258"/>
      <c r="H72" s="264"/>
      <c r="I72" s="259"/>
      <c r="J72" s="259"/>
      <c r="K72" s="259"/>
      <c r="L72" s="258"/>
      <c r="M72" s="258"/>
    </row>
    <row r="73" spans="1:31" x14ac:dyDescent="0.25">
      <c r="A73" s="258"/>
      <c r="B73" s="258"/>
      <c r="C73" s="258"/>
      <c r="D73" s="259"/>
      <c r="E73" s="259"/>
      <c r="F73" s="259"/>
      <c r="G73" s="258"/>
      <c r="H73" s="264"/>
      <c r="I73" s="259"/>
      <c r="J73" s="259"/>
      <c r="K73" s="259"/>
      <c r="L73" s="258"/>
      <c r="M73" s="258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0" t="s">
        <v>195</v>
      </c>
      <c r="B75" s="461"/>
      <c r="C75" s="462">
        <f>SumByColor($A$19,C58:C73)</f>
        <v>0</v>
      </c>
      <c r="D75" s="462"/>
      <c r="E75" s="462"/>
      <c r="F75" s="463">
        <f>SumByColor($A$19,F58:F73)</f>
        <v>0</v>
      </c>
      <c r="G75" s="462"/>
      <c r="H75" s="462">
        <f>SumByColor($A$19,H58:H73)</f>
        <v>0</v>
      </c>
      <c r="I75" s="462"/>
      <c r="J75" s="462"/>
      <c r="K75" s="463">
        <f>SumByColor($A$19,K58:K73)</f>
        <v>0</v>
      </c>
      <c r="L75" s="462"/>
      <c r="M75" s="46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44" priority="29">
      <formula>F40&gt;0</formula>
    </cfRule>
    <cfRule type="expression" dxfId="543" priority="30">
      <formula>F40&lt;0</formula>
    </cfRule>
  </conditionalFormatting>
  <conditionalFormatting sqref="F40:F45">
    <cfRule type="expression" dxfId="542" priority="31">
      <formula>F40&gt;0</formula>
    </cfRule>
    <cfRule type="expression" dxfId="541" priority="32">
      <formula>F40&lt;0</formula>
    </cfRule>
  </conditionalFormatting>
  <conditionalFormatting sqref="H40:H45">
    <cfRule type="expression" dxfId="540" priority="27">
      <formula>H40&gt;0</formula>
    </cfRule>
    <cfRule type="expression" dxfId="539" priority="28">
      <formula>H40&lt;0</formula>
    </cfRule>
  </conditionalFormatting>
  <conditionalFormatting sqref="F23:F39">
    <cfRule type="expression" dxfId="538" priority="13">
      <formula>F23&gt;0</formula>
    </cfRule>
    <cfRule type="expression" dxfId="537" priority="14">
      <formula>F23&lt;0</formula>
    </cfRule>
  </conditionalFormatting>
  <conditionalFormatting sqref="H23:H39">
    <cfRule type="expression" dxfId="536" priority="11">
      <formula>H23&gt;0</formula>
    </cfRule>
    <cfRule type="expression" dxfId="535" priority="12">
      <formula>H23&lt;0</formula>
    </cfRule>
  </conditionalFormatting>
  <conditionalFormatting sqref="Q7">
    <cfRule type="expression" dxfId="534" priority="9">
      <formula>Q7&gt;0</formula>
    </cfRule>
    <cfRule type="expression" dxfId="533" priority="10">
      <formula>Q7&lt;0</formula>
    </cfRule>
  </conditionalFormatting>
  <conditionalFormatting sqref="Q8">
    <cfRule type="expression" dxfId="532" priority="7">
      <formula>Q8&gt;0</formula>
    </cfRule>
    <cfRule type="expression" dxfId="531" priority="8">
      <formula>Q8&lt;0</formula>
    </cfRule>
  </conditionalFormatting>
  <conditionalFormatting sqref="Q10">
    <cfRule type="expression" dxfId="530" priority="1">
      <formula>Q10&gt;0</formula>
    </cfRule>
    <cfRule type="expression" dxfId="52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0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2"/>
      <c r="D2" s="237"/>
      <c r="E2" s="3"/>
      <c r="F2" s="3"/>
      <c r="G2" s="73"/>
      <c r="H2" s="182"/>
      <c r="I2" s="237"/>
      <c r="J2" s="3"/>
      <c r="K2" s="3"/>
      <c r="L2" s="4"/>
      <c r="O2" s="11" t="s">
        <v>57</v>
      </c>
      <c r="Q2" s="71">
        <f>C18-H18</f>
        <v>0</v>
      </c>
      <c r="T2" s="11"/>
      <c r="W2" s="121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5">
        <f>AC2/AC3-1</f>
        <v>-5.2831211053913085E-3</v>
      </c>
    </row>
    <row r="3" spans="1:42" x14ac:dyDescent="0.25">
      <c r="A3" s="23" t="s">
        <v>71</v>
      </c>
      <c r="B3" s="73"/>
      <c r="C3" s="182"/>
      <c r="D3" s="237"/>
      <c r="E3" s="3"/>
      <c r="F3" s="3"/>
      <c r="G3" s="73"/>
      <c r="H3" s="182"/>
      <c r="I3" s="237"/>
      <c r="J3" s="3"/>
      <c r="K3" s="3"/>
      <c r="L3" s="4"/>
      <c r="O3" s="11" t="s">
        <v>75</v>
      </c>
      <c r="Q3" s="227">
        <f>IF(Q2=0, Q4, (F18-K18-M18)/Q2)</f>
        <v>80.11</v>
      </c>
      <c r="W3" s="121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5">
        <f t="shared" ref="AE3:AE66" si="1">AC3/AC4-1</f>
        <v>9.9876864140100441E-3</v>
      </c>
      <c r="AJ3" s="232"/>
      <c r="AL3" s="231"/>
      <c r="AO3" s="231"/>
    </row>
    <row r="4" spans="1:42" x14ac:dyDescent="0.25">
      <c r="B4" s="73"/>
      <c r="C4" s="182"/>
      <c r="D4" s="237"/>
      <c r="E4" s="3"/>
      <c r="F4" s="3"/>
      <c r="G4" s="73"/>
      <c r="H4" s="182"/>
      <c r="I4" s="237"/>
      <c r="J4" s="3"/>
      <c r="K4" s="3"/>
      <c r="L4" s="4"/>
      <c r="O4" s="11" t="s">
        <v>66</v>
      </c>
      <c r="Q4" s="55">
        <v>80.11</v>
      </c>
      <c r="R4" s="497">
        <v>-3.2000000000000002E-3</v>
      </c>
      <c r="T4" s="1"/>
      <c r="W4" s="121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5">
        <f t="shared" si="1"/>
        <v>-1.136209928310572E-2</v>
      </c>
      <c r="AL4" s="231"/>
      <c r="AO4" s="231"/>
    </row>
    <row r="5" spans="1:42" x14ac:dyDescent="0.25">
      <c r="B5" s="73"/>
      <c r="C5" s="182"/>
      <c r="D5" s="237"/>
      <c r="E5" s="3"/>
      <c r="F5" s="3"/>
      <c r="G5" s="73"/>
      <c r="H5" s="182"/>
      <c r="I5" s="237"/>
      <c r="J5" s="3"/>
      <c r="K5" s="3"/>
      <c r="L5" s="4"/>
      <c r="O5" s="11" t="s">
        <v>67</v>
      </c>
      <c r="Q5" s="3">
        <f>Q4*Q2</f>
        <v>0</v>
      </c>
      <c r="T5" s="1"/>
      <c r="W5" s="121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5">
        <f t="shared" si="1"/>
        <v>-4.0562466197924252E-4</v>
      </c>
      <c r="AL5" s="231"/>
      <c r="AO5" s="231"/>
    </row>
    <row r="6" spans="1:42" x14ac:dyDescent="0.25">
      <c r="B6" s="73"/>
      <c r="C6" s="182"/>
      <c r="D6" s="237"/>
      <c r="E6" s="3"/>
      <c r="F6" s="3"/>
      <c r="G6" s="73"/>
      <c r="H6" s="182"/>
      <c r="I6" s="237"/>
      <c r="J6" s="3"/>
      <c r="K6" s="3"/>
      <c r="L6" s="4"/>
      <c r="O6" s="11" t="s">
        <v>64</v>
      </c>
      <c r="Q6" s="2">
        <f>Q3*Q2</f>
        <v>0</v>
      </c>
      <c r="W6" s="121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5">
        <f t="shared" si="1"/>
        <v>2.4396855516399807E-3</v>
      </c>
      <c r="AL6" s="231"/>
      <c r="AO6" s="231"/>
    </row>
    <row r="7" spans="1:42" x14ac:dyDescent="0.25">
      <c r="B7" s="73"/>
      <c r="C7" s="182"/>
      <c r="D7" s="237"/>
      <c r="E7" s="3"/>
      <c r="F7" s="3"/>
      <c r="G7" s="73"/>
      <c r="H7" s="182"/>
      <c r="I7" s="237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1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5">
        <f t="shared" si="1"/>
        <v>-8.1256771397619776E-4</v>
      </c>
      <c r="AL7" s="231"/>
      <c r="AO7" s="231"/>
    </row>
    <row r="8" spans="1:42" x14ac:dyDescent="0.25">
      <c r="B8" s="73"/>
      <c r="C8" s="182"/>
      <c r="D8" s="237"/>
      <c r="E8" s="3"/>
      <c r="F8" s="3"/>
      <c r="G8" s="73"/>
      <c r="H8" s="182"/>
      <c r="I8" s="237"/>
      <c r="J8" s="3"/>
      <c r="K8" s="3"/>
      <c r="L8" s="4"/>
      <c r="O8" s="11" t="s">
        <v>181</v>
      </c>
      <c r="P8" s="34"/>
      <c r="Q8" s="2">
        <f>K18+M18-F18+Q2*Q4</f>
        <v>0</v>
      </c>
      <c r="R8" s="163"/>
      <c r="W8" s="121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5">
        <f t="shared" si="1"/>
        <v>1.6519823788546217E-2</v>
      </c>
      <c r="AL8" s="231"/>
      <c r="AO8" s="231"/>
    </row>
    <row r="9" spans="1:42" x14ac:dyDescent="0.25">
      <c r="O9" s="11" t="s">
        <v>211</v>
      </c>
      <c r="Q9" s="135">
        <f>IF(Q2=0, 0, Q8/Q6)</f>
        <v>0</v>
      </c>
      <c r="W9" s="121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5">
        <f t="shared" si="1"/>
        <v>4.5636841377403314E-3</v>
      </c>
      <c r="AL9" s="231"/>
      <c r="AO9" s="231"/>
    </row>
    <row r="10" spans="1:42" x14ac:dyDescent="0.25">
      <c r="O10" s="11" t="s">
        <v>210</v>
      </c>
      <c r="P10" s="34"/>
      <c r="Q10" s="2">
        <f>M36</f>
        <v>121.94999999999982</v>
      </c>
      <c r="W10" s="121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5">
        <f t="shared" si="1"/>
        <v>-1.7945886250689824E-3</v>
      </c>
      <c r="AL10" s="231"/>
      <c r="AO10" s="231"/>
    </row>
    <row r="11" spans="1:42" x14ac:dyDescent="0.25">
      <c r="O11" s="11" t="s">
        <v>176</v>
      </c>
      <c r="P11" s="34"/>
      <c r="Q11" s="135">
        <f>IF(U58="N/A (N/A)", 0, VALUE(TRIM(CLEAN(MID(U58, FIND("(", U58)+1, 5)))))</f>
        <v>1.67E-2</v>
      </c>
      <c r="T11" s="11"/>
      <c r="W11" s="121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5">
        <f t="shared" si="1"/>
        <v>9.4760312151616066E-3</v>
      </c>
      <c r="AL11" s="231"/>
      <c r="AO11" s="231"/>
    </row>
    <row r="12" spans="1:42" x14ac:dyDescent="0.25">
      <c r="W12" s="121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5">
        <f t="shared" si="1"/>
        <v>5.7463209530486115E-3</v>
      </c>
      <c r="AL12" s="231"/>
      <c r="AO12" s="231"/>
    </row>
    <row r="13" spans="1:42" x14ac:dyDescent="0.25">
      <c r="W13" s="121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5">
        <f t="shared" si="1"/>
        <v>-9.0277777777778567E-3</v>
      </c>
    </row>
    <row r="14" spans="1:42" x14ac:dyDescent="0.25">
      <c r="W14" s="121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5">
        <f t="shared" si="1"/>
        <v>-2.2172949002217113E-3</v>
      </c>
    </row>
    <row r="15" spans="1:42" x14ac:dyDescent="0.25">
      <c r="V15" s="2"/>
      <c r="W15" s="121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5">
        <f t="shared" si="1"/>
        <v>-6.9242487190135371E-4</v>
      </c>
      <c r="AL15" s="231"/>
      <c r="AO15" s="231"/>
      <c r="AP15" s="231"/>
    </row>
    <row r="16" spans="1:42" x14ac:dyDescent="0.25">
      <c r="V16" s="2"/>
      <c r="W16" s="121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5">
        <f t="shared" si="1"/>
        <v>-5.5088830739568051E-3</v>
      </c>
    </row>
    <row r="17" spans="1:42" x14ac:dyDescent="0.25">
      <c r="V17" s="2"/>
      <c r="W17" s="121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5">
        <f t="shared" si="1"/>
        <v>1.8087492989343978E-2</v>
      </c>
      <c r="AL17" s="231"/>
      <c r="AO17" s="231"/>
      <c r="AP17" s="231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1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5">
        <f t="shared" si="1"/>
        <v>-2.0464221947534833E-2</v>
      </c>
    </row>
    <row r="19" spans="1:42" x14ac:dyDescent="0.25">
      <c r="B19" s="73"/>
      <c r="C19" s="4"/>
      <c r="D19" s="237"/>
      <c r="E19" s="3"/>
      <c r="F19" s="3"/>
      <c r="G19" s="73"/>
      <c r="H19" s="182"/>
      <c r="I19" s="237"/>
      <c r="J19" s="3"/>
      <c r="K19" s="3"/>
      <c r="L19" s="4"/>
      <c r="W19" s="121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5">
        <f t="shared" si="1"/>
        <v>6.3579820317900548E-3</v>
      </c>
      <c r="AL19" s="231"/>
      <c r="AO19" s="231"/>
    </row>
    <row r="20" spans="1:42" x14ac:dyDescent="0.25">
      <c r="B20" s="73"/>
      <c r="C20" s="4"/>
      <c r="D20" s="237"/>
      <c r="E20" s="3"/>
      <c r="F20" s="3"/>
      <c r="G20" s="73"/>
      <c r="H20" s="182"/>
      <c r="I20" s="237"/>
      <c r="J20" s="3"/>
      <c r="K20" s="3"/>
      <c r="L20" s="4"/>
      <c r="W20" s="121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5">
        <f t="shared" si="1"/>
        <v>9.06555090655492E-3</v>
      </c>
    </row>
    <row r="21" spans="1:42" x14ac:dyDescent="0.25">
      <c r="B21" s="73"/>
      <c r="C21" s="4"/>
      <c r="D21" s="237"/>
      <c r="E21" s="3"/>
      <c r="F21" s="3"/>
      <c r="G21" s="73"/>
      <c r="H21" s="182"/>
      <c r="I21" s="237"/>
      <c r="J21" s="3"/>
      <c r="K21" s="3"/>
      <c r="L21" s="4"/>
      <c r="W21" s="121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5">
        <f t="shared" si="1"/>
        <v>2.0964360587003572E-3</v>
      </c>
    </row>
    <row r="22" spans="1:42" x14ac:dyDescent="0.25">
      <c r="B22" s="188" t="s">
        <v>113</v>
      </c>
      <c r="C22" s="188" t="s">
        <v>146</v>
      </c>
      <c r="D22" s="196" t="s">
        <v>145</v>
      </c>
      <c r="E22" s="192" t="s">
        <v>147</v>
      </c>
      <c r="F22" s="192" t="s">
        <v>65</v>
      </c>
      <c r="G22" s="226" t="s">
        <v>151</v>
      </c>
      <c r="H22" s="192" t="s">
        <v>88</v>
      </c>
      <c r="I22" s="238" t="s">
        <v>154</v>
      </c>
      <c r="J22" s="3"/>
      <c r="K22" s="3"/>
      <c r="L22" s="4"/>
      <c r="W22" s="121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5" t="e">
        <f t="shared" si="1"/>
        <v>#DIV/0!</v>
      </c>
    </row>
    <row r="23" spans="1:42" x14ac:dyDescent="0.25">
      <c r="B23" s="190">
        <v>42375</v>
      </c>
      <c r="C23" s="10">
        <v>40</v>
      </c>
      <c r="D23" s="197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8">
        <f>(E23-D23)/D23</f>
        <v>-4.389312977099177E-3</v>
      </c>
      <c r="I23" s="40"/>
      <c r="J23" s="3"/>
      <c r="K23" s="3"/>
      <c r="L23" s="4"/>
      <c r="W23" s="121">
        <v>42802</v>
      </c>
      <c r="X23" s="41" t="s">
        <v>511</v>
      </c>
      <c r="Y23" s="41"/>
      <c r="Z23" s="41"/>
      <c r="AA23" s="41"/>
      <c r="AB23" s="103"/>
      <c r="AC23" s="9"/>
      <c r="AD23" s="2">
        <f t="shared" si="0"/>
        <v>0</v>
      </c>
      <c r="AE23" s="135">
        <f t="shared" si="1"/>
        <v>-1</v>
      </c>
    </row>
    <row r="24" spans="1:42" x14ac:dyDescent="0.25">
      <c r="B24" s="190">
        <v>42403</v>
      </c>
      <c r="C24" s="10">
        <v>40</v>
      </c>
      <c r="D24" s="197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8">
        <f>(E24-D24)/D24</f>
        <v>1.736641221374053E-2</v>
      </c>
      <c r="I24" s="40"/>
      <c r="J24" s="3"/>
      <c r="K24" s="3"/>
      <c r="L24" s="4"/>
      <c r="W24" s="121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5">
        <f t="shared" si="1"/>
        <v>1.110494169905607E-3</v>
      </c>
    </row>
    <row r="25" spans="1:42" x14ac:dyDescent="0.25">
      <c r="B25" s="190">
        <v>42416</v>
      </c>
      <c r="C25" s="10">
        <v>0</v>
      </c>
      <c r="D25" s="197">
        <v>0</v>
      </c>
      <c r="E25" s="40">
        <v>0</v>
      </c>
      <c r="F25" s="40">
        <v>121.95</v>
      </c>
      <c r="G25" s="40"/>
      <c r="H25" s="229"/>
      <c r="I25" s="197"/>
      <c r="J25" s="3"/>
      <c r="K25" s="3"/>
      <c r="L25" s="4"/>
      <c r="W25" s="121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5">
        <f t="shared" si="1"/>
        <v>4.7419804741981597E-3</v>
      </c>
      <c r="AL25" s="231"/>
      <c r="AO25" s="231"/>
    </row>
    <row r="26" spans="1:42" x14ac:dyDescent="0.25">
      <c r="B26" s="190"/>
      <c r="C26" s="10"/>
      <c r="D26" s="197"/>
      <c r="E26" s="40"/>
      <c r="F26" s="40"/>
      <c r="G26" s="40"/>
      <c r="H26" s="229"/>
      <c r="I26" s="197"/>
      <c r="J26" s="3"/>
      <c r="K26" s="3"/>
      <c r="L26" s="4"/>
      <c r="W26" s="121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5">
        <f t="shared" si="1"/>
        <v>1.5005662514156359E-2</v>
      </c>
    </row>
    <row r="27" spans="1:42" x14ac:dyDescent="0.25">
      <c r="B27" s="190"/>
      <c r="C27" s="10"/>
      <c r="D27" s="197"/>
      <c r="E27" s="40"/>
      <c r="F27" s="40"/>
      <c r="G27" s="40"/>
      <c r="H27" s="229"/>
      <c r="I27" s="197"/>
      <c r="J27" s="3"/>
      <c r="K27" s="3"/>
      <c r="L27" s="4"/>
      <c r="W27" s="121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5">
        <f t="shared" si="1"/>
        <v>-2.2598870056497189E-3</v>
      </c>
      <c r="AL27" s="231"/>
      <c r="AO27" s="231"/>
    </row>
    <row r="28" spans="1:42" x14ac:dyDescent="0.25">
      <c r="B28" s="190"/>
      <c r="C28" s="10"/>
      <c r="D28" s="197"/>
      <c r="E28" s="40"/>
      <c r="F28" s="40"/>
      <c r="G28" s="40"/>
      <c r="H28" s="229"/>
      <c r="I28" s="197"/>
      <c r="J28" s="3"/>
      <c r="K28" s="3"/>
      <c r="L28" s="4"/>
      <c r="W28" s="121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5">
        <f t="shared" si="1"/>
        <v>1.9144954656686419E-2</v>
      </c>
    </row>
    <row r="29" spans="1:42" x14ac:dyDescent="0.25">
      <c r="B29" s="190"/>
      <c r="C29" s="10"/>
      <c r="D29" s="197"/>
      <c r="E29" s="40"/>
      <c r="F29" s="40"/>
      <c r="G29" s="40"/>
      <c r="H29" s="229"/>
      <c r="I29" s="197"/>
      <c r="J29" s="3"/>
      <c r="K29" s="3"/>
      <c r="L29" s="4"/>
      <c r="W29" s="121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5">
        <f t="shared" si="1"/>
        <v>-1.7814223101937032E-2</v>
      </c>
    </row>
    <row r="30" spans="1:42" x14ac:dyDescent="0.25">
      <c r="B30" s="190"/>
      <c r="C30" s="10"/>
      <c r="D30" s="197"/>
      <c r="E30" s="40"/>
      <c r="F30" s="40"/>
      <c r="G30" s="40"/>
      <c r="H30" s="229"/>
      <c r="I30" s="197"/>
      <c r="J30" s="3"/>
      <c r="K30" s="3"/>
      <c r="L30" s="4"/>
      <c r="W30" s="121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5">
        <f t="shared" si="1"/>
        <v>7.9806184979336336E-3</v>
      </c>
    </row>
    <row r="31" spans="1:42" x14ac:dyDescent="0.25">
      <c r="B31" s="190"/>
      <c r="C31" s="10"/>
      <c r="D31" s="197"/>
      <c r="E31" s="40"/>
      <c r="F31" s="40"/>
      <c r="G31" s="40"/>
      <c r="H31" s="229"/>
      <c r="I31" s="197"/>
      <c r="Q31" s="2"/>
      <c r="W31" s="121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5">
        <f t="shared" si="1"/>
        <v>-1.0156580617858624E-2</v>
      </c>
      <c r="AL31" s="231"/>
      <c r="AO31" s="231"/>
    </row>
    <row r="32" spans="1:42" x14ac:dyDescent="0.25">
      <c r="B32" s="190"/>
      <c r="C32" s="10"/>
      <c r="D32" s="197"/>
      <c r="E32" s="40"/>
      <c r="F32" s="40"/>
      <c r="G32" s="40"/>
      <c r="H32" s="229"/>
      <c r="I32" s="197"/>
      <c r="J32" s="3"/>
      <c r="K32" s="3"/>
      <c r="L32" s="4"/>
      <c r="Q32" s="2"/>
      <c r="W32" s="121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5">
        <f t="shared" si="1"/>
        <v>-1.3498469245755595E-2</v>
      </c>
    </row>
    <row r="33" spans="1:41" x14ac:dyDescent="0.25">
      <c r="B33" s="73"/>
      <c r="C33" s="4"/>
      <c r="D33" s="237"/>
      <c r="E33" s="3"/>
      <c r="F33" s="3"/>
      <c r="G33" s="3"/>
      <c r="H33" s="230"/>
      <c r="I33" s="237"/>
      <c r="J33" s="3"/>
      <c r="K33" s="3"/>
      <c r="L33" s="4"/>
      <c r="Q33" s="2"/>
      <c r="W33" s="121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5">
        <f t="shared" si="1"/>
        <v>2.9309141660851523E-3</v>
      </c>
      <c r="AL33" s="231"/>
      <c r="AO33" s="231"/>
    </row>
    <row r="34" spans="1:41" x14ac:dyDescent="0.25">
      <c r="B34" s="73"/>
      <c r="C34" s="4"/>
      <c r="D34" s="237"/>
      <c r="E34" s="3"/>
      <c r="F34" s="3"/>
      <c r="G34" s="3"/>
      <c r="H34" s="230"/>
      <c r="I34" s="237"/>
      <c r="J34" s="3"/>
      <c r="K34" s="3"/>
      <c r="L34" s="4"/>
      <c r="W34" s="121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5">
        <f t="shared" si="1"/>
        <v>4.063901345291665E-3</v>
      </c>
    </row>
    <row r="35" spans="1:41" x14ac:dyDescent="0.25">
      <c r="B35" s="73"/>
      <c r="C35" s="4"/>
      <c r="D35" s="237"/>
      <c r="E35" s="3"/>
      <c r="F35" s="3"/>
      <c r="G35" s="3"/>
      <c r="H35" s="230"/>
      <c r="I35" s="237"/>
      <c r="J35" s="3"/>
      <c r="K35" s="3"/>
      <c r="L35" s="4"/>
      <c r="W35" s="121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5">
        <f t="shared" si="1"/>
        <v>1.4033118158853775E-3</v>
      </c>
      <c r="AL35" s="231"/>
      <c r="AO35" s="231"/>
    </row>
    <row r="36" spans="1:41" x14ac:dyDescent="0.25">
      <c r="B36" s="73"/>
      <c r="C36" s="4"/>
      <c r="D36" s="237"/>
      <c r="E36" s="3"/>
      <c r="F36" s="3"/>
      <c r="G36" s="3"/>
      <c r="H36" s="230"/>
      <c r="I36" s="73"/>
      <c r="L36" t="s">
        <v>210</v>
      </c>
      <c r="M36" s="2">
        <f>K54+M54-F54</f>
        <v>121.94999999999982</v>
      </c>
      <c r="W36" s="121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5">
        <f t="shared" si="1"/>
        <v>9.8328416912507599E-4</v>
      </c>
    </row>
    <row r="37" spans="1:41" x14ac:dyDescent="0.25">
      <c r="A37" s="382" t="s">
        <v>1</v>
      </c>
      <c r="B37" s="382" t="s">
        <v>2</v>
      </c>
      <c r="C37" s="382" t="s">
        <v>4</v>
      </c>
      <c r="D37" s="383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3" t="s">
        <v>7</v>
      </c>
      <c r="J37" s="384" t="s">
        <v>95</v>
      </c>
      <c r="K37" s="384" t="s">
        <v>61</v>
      </c>
      <c r="L37" s="22" t="s">
        <v>37</v>
      </c>
      <c r="M37" s="22" t="s">
        <v>38</v>
      </c>
      <c r="W37" s="121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5">
        <f t="shared" si="1"/>
        <v>-5.615611399691911E-4</v>
      </c>
    </row>
    <row r="38" spans="1:41" x14ac:dyDescent="0.25">
      <c r="A38" s="385" t="s">
        <v>8</v>
      </c>
      <c r="B38" s="375">
        <v>42375</v>
      </c>
      <c r="C38" s="380">
        <v>40</v>
      </c>
      <c r="D38" s="381">
        <v>52.4</v>
      </c>
      <c r="E38" s="377">
        <v>0</v>
      </c>
      <c r="F38" s="377">
        <f>C38*D38+E38</f>
        <v>2096</v>
      </c>
      <c r="G38" s="375">
        <v>42416</v>
      </c>
      <c r="H38" s="380">
        <v>40</v>
      </c>
      <c r="I38" s="381">
        <v>55.45</v>
      </c>
      <c r="J38" s="377">
        <v>0.05</v>
      </c>
      <c r="K38" s="377">
        <f>H38*I38-J38</f>
        <v>2217.9499999999998</v>
      </c>
      <c r="L38" s="376"/>
      <c r="M38" s="376"/>
      <c r="W38" s="121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5">
        <f t="shared" si="1"/>
        <v>7.0244450688394799E-4</v>
      </c>
    </row>
    <row r="39" spans="1:41" x14ac:dyDescent="0.25">
      <c r="A39" s="386"/>
      <c r="B39" s="375"/>
      <c r="C39" s="380"/>
      <c r="D39" s="381"/>
      <c r="E39" s="377"/>
      <c r="F39" s="377"/>
      <c r="G39" s="375"/>
      <c r="H39" s="380"/>
      <c r="I39" s="381"/>
      <c r="J39" s="377"/>
      <c r="K39" s="377"/>
      <c r="L39" s="376"/>
      <c r="M39" s="376"/>
      <c r="W39" s="121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5">
        <f t="shared" si="1"/>
        <v>1.3382687927107284E-2</v>
      </c>
    </row>
    <row r="40" spans="1:41" x14ac:dyDescent="0.25">
      <c r="A40" s="376"/>
      <c r="B40" s="375"/>
      <c r="C40" s="380"/>
      <c r="D40" s="381"/>
      <c r="E40" s="377"/>
      <c r="F40" s="377"/>
      <c r="G40" s="375"/>
      <c r="H40" s="380"/>
      <c r="I40" s="381"/>
      <c r="J40" s="377"/>
      <c r="K40" s="377"/>
      <c r="L40" s="376"/>
      <c r="M40" s="376"/>
      <c r="W40" s="121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5">
        <f t="shared" si="1"/>
        <v>1.2103746397694293E-2</v>
      </c>
    </row>
    <row r="41" spans="1:41" x14ac:dyDescent="0.25">
      <c r="A41" s="376"/>
      <c r="B41" s="375"/>
      <c r="C41" s="380"/>
      <c r="D41" s="381"/>
      <c r="E41" s="377"/>
      <c r="F41" s="377"/>
      <c r="G41" s="375"/>
      <c r="H41" s="380"/>
      <c r="I41" s="381"/>
      <c r="J41" s="377"/>
      <c r="K41" s="377"/>
      <c r="L41" s="376"/>
      <c r="M41" s="376"/>
      <c r="W41" s="121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5">
        <f t="shared" si="1"/>
        <v>5.3599884108359586E-3</v>
      </c>
      <c r="AL41" s="231"/>
      <c r="AO41" s="231"/>
    </row>
    <row r="42" spans="1:41" ht="20.25" thickBot="1" x14ac:dyDescent="0.35">
      <c r="A42" s="376"/>
      <c r="B42" s="375"/>
      <c r="C42" s="380"/>
      <c r="D42" s="381"/>
      <c r="E42" s="377"/>
      <c r="F42" s="377"/>
      <c r="G42" s="375"/>
      <c r="H42" s="380"/>
      <c r="I42" s="381"/>
      <c r="J42" s="377"/>
      <c r="K42" s="377"/>
      <c r="L42" s="376"/>
      <c r="M42" s="376"/>
      <c r="O42" s="369" t="s">
        <v>78</v>
      </c>
      <c r="P42" s="369"/>
      <c r="T42" s="104" t="s">
        <v>92</v>
      </c>
      <c r="U42" s="108"/>
      <c r="W42" s="121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5">
        <f t="shared" si="1"/>
        <v>3.1972097078911688E-3</v>
      </c>
    </row>
    <row r="43" spans="1:41" ht="15.75" thickTop="1" x14ac:dyDescent="0.25">
      <c r="A43" s="376"/>
      <c r="B43" s="375"/>
      <c r="C43" s="380"/>
      <c r="D43" s="381"/>
      <c r="E43" s="377"/>
      <c r="F43" s="377"/>
      <c r="G43" s="375"/>
      <c r="H43" s="380"/>
      <c r="I43" s="381"/>
      <c r="J43" s="377"/>
      <c r="K43" s="377"/>
      <c r="L43" s="376"/>
      <c r="M43" s="376"/>
      <c r="O43" s="82">
        <v>1.1000000000000001</v>
      </c>
      <c r="P43" s="82">
        <f t="shared" ref="P43:P63" si="2">O43*$Q$4</f>
        <v>88.121000000000009</v>
      </c>
      <c r="T43" s="136" t="s">
        <v>97</v>
      </c>
      <c r="U43" s="137">
        <v>73.819999999999993</v>
      </c>
      <c r="W43" s="121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5">
        <f t="shared" si="1"/>
        <v>7.1721311475412275E-3</v>
      </c>
    </row>
    <row r="44" spans="1:41" x14ac:dyDescent="0.25">
      <c r="A44" s="376"/>
      <c r="B44" s="375"/>
      <c r="C44" s="380"/>
      <c r="D44" s="381"/>
      <c r="E44" s="377"/>
      <c r="F44" s="377"/>
      <c r="G44" s="375"/>
      <c r="H44" s="380"/>
      <c r="I44" s="381"/>
      <c r="J44" s="377"/>
      <c r="K44" s="377"/>
      <c r="L44" s="376"/>
      <c r="M44" s="376"/>
      <c r="O44" s="82">
        <v>1.0900000000000001</v>
      </c>
      <c r="P44" s="82">
        <f t="shared" si="2"/>
        <v>87.319900000000004</v>
      </c>
      <c r="T44" s="107" t="s">
        <v>98</v>
      </c>
      <c r="U44" s="105">
        <v>74.11</v>
      </c>
      <c r="W44" s="121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5">
        <f t="shared" si="1"/>
        <v>-1.0285383166739215E-2</v>
      </c>
    </row>
    <row r="45" spans="1:41" x14ac:dyDescent="0.25">
      <c r="A45" s="376"/>
      <c r="B45" s="376"/>
      <c r="C45" s="376"/>
      <c r="D45" s="381"/>
      <c r="E45" s="377"/>
      <c r="F45" s="377"/>
      <c r="G45" s="376"/>
      <c r="H45" s="376"/>
      <c r="I45" s="381"/>
      <c r="J45" s="377"/>
      <c r="K45" s="377"/>
      <c r="L45" s="376"/>
      <c r="M45" s="376"/>
      <c r="O45" s="82">
        <v>1.08</v>
      </c>
      <c r="P45" s="82">
        <f t="shared" si="2"/>
        <v>86.518799999999999</v>
      </c>
      <c r="Q45" s="2"/>
      <c r="T45" s="107" t="s">
        <v>99</v>
      </c>
      <c r="U45" s="105" t="s">
        <v>128</v>
      </c>
      <c r="W45" s="121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5">
        <f t="shared" si="1"/>
        <v>5.8283549468163276E-3</v>
      </c>
      <c r="AL45" s="231"/>
      <c r="AO45" s="231"/>
    </row>
    <row r="46" spans="1:41" x14ac:dyDescent="0.25">
      <c r="A46" s="376"/>
      <c r="B46" s="376"/>
      <c r="C46" s="376"/>
      <c r="D46" s="381"/>
      <c r="E46" s="377"/>
      <c r="F46" s="377"/>
      <c r="G46" s="376"/>
      <c r="H46" s="376"/>
      <c r="I46" s="381"/>
      <c r="J46" s="377"/>
      <c r="K46" s="377"/>
      <c r="L46" s="376"/>
      <c r="M46" s="376"/>
      <c r="O46" s="82">
        <v>1.07</v>
      </c>
      <c r="P46" s="82">
        <f t="shared" si="2"/>
        <v>85.717700000000008</v>
      </c>
      <c r="Q46" s="2"/>
      <c r="T46" s="107" t="s">
        <v>100</v>
      </c>
      <c r="U46" s="105" t="s">
        <v>128</v>
      </c>
      <c r="W46" s="121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5">
        <f t="shared" si="1"/>
        <v>-2.1808665309683839E-3</v>
      </c>
    </row>
    <row r="47" spans="1:41" x14ac:dyDescent="0.25">
      <c r="A47" s="376"/>
      <c r="B47" s="376"/>
      <c r="C47" s="376"/>
      <c r="D47" s="381"/>
      <c r="E47" s="377"/>
      <c r="F47" s="377"/>
      <c r="G47" s="376"/>
      <c r="H47" s="376"/>
      <c r="I47" s="381"/>
      <c r="J47" s="377"/>
      <c r="K47" s="377"/>
      <c r="L47" s="376"/>
      <c r="M47" s="376"/>
      <c r="O47" s="82">
        <v>1.06</v>
      </c>
      <c r="P47" s="82">
        <f t="shared" si="2"/>
        <v>84.916600000000003</v>
      </c>
      <c r="Q47" s="2"/>
      <c r="T47" s="107" t="s">
        <v>101</v>
      </c>
      <c r="U47" s="105">
        <v>71.97</v>
      </c>
      <c r="W47" s="121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5">
        <f t="shared" si="1"/>
        <v>-6.3565443513434738E-3</v>
      </c>
    </row>
    <row r="48" spans="1:41" x14ac:dyDescent="0.25">
      <c r="A48" s="376"/>
      <c r="B48" s="376"/>
      <c r="C48" s="376"/>
      <c r="D48" s="381"/>
      <c r="E48" s="377"/>
      <c r="F48" s="377"/>
      <c r="G48" s="376"/>
      <c r="H48" s="376"/>
      <c r="I48" s="381"/>
      <c r="J48" s="377"/>
      <c r="K48" s="377"/>
      <c r="L48" s="376"/>
      <c r="M48" s="376"/>
      <c r="O48" s="82">
        <v>1.05</v>
      </c>
      <c r="P48" s="82">
        <f t="shared" si="2"/>
        <v>84.115499999999997</v>
      </c>
      <c r="Q48" s="2"/>
      <c r="T48" s="107" t="s">
        <v>102</v>
      </c>
      <c r="U48" s="105">
        <v>1.18781</v>
      </c>
      <c r="W48" s="121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5">
        <f t="shared" si="1"/>
        <v>-3.5986756873470638E-3</v>
      </c>
    </row>
    <row r="49" spans="1:42" x14ac:dyDescent="0.25">
      <c r="A49" s="376"/>
      <c r="B49" s="376"/>
      <c r="C49" s="376"/>
      <c r="D49" s="381"/>
      <c r="E49" s="377"/>
      <c r="F49" s="377"/>
      <c r="G49" s="376"/>
      <c r="H49" s="376"/>
      <c r="I49" s="381"/>
      <c r="J49" s="377"/>
      <c r="K49" s="377"/>
      <c r="L49" s="376"/>
      <c r="M49" s="376"/>
      <c r="O49" s="82">
        <v>1.04</v>
      </c>
      <c r="P49" s="82">
        <f t="shared" si="2"/>
        <v>83.314400000000006</v>
      </c>
      <c r="Q49" s="2"/>
      <c r="T49" s="107" t="s">
        <v>103</v>
      </c>
      <c r="U49" s="105" t="s">
        <v>128</v>
      </c>
      <c r="W49" s="121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5">
        <f t="shared" si="1"/>
        <v>-7.5714285714285623E-3</v>
      </c>
    </row>
    <row r="50" spans="1:42" x14ac:dyDescent="0.25">
      <c r="A50" s="376"/>
      <c r="B50" s="376"/>
      <c r="C50" s="376"/>
      <c r="D50" s="381"/>
      <c r="E50" s="377"/>
      <c r="F50" s="377"/>
      <c r="G50" s="376"/>
      <c r="H50" s="376"/>
      <c r="I50" s="381"/>
      <c r="J50" s="377"/>
      <c r="K50" s="377"/>
      <c r="L50" s="376"/>
      <c r="M50" s="376"/>
      <c r="O50" s="82">
        <v>1.03</v>
      </c>
      <c r="P50" s="82">
        <f t="shared" si="2"/>
        <v>82.513300000000001</v>
      </c>
      <c r="Q50" s="2"/>
      <c r="T50" s="107"/>
      <c r="U50" s="105"/>
      <c r="W50" s="121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5">
        <f t="shared" si="1"/>
        <v>2.4344837462408897E-3</v>
      </c>
    </row>
    <row r="51" spans="1:42" x14ac:dyDescent="0.25">
      <c r="A51" s="376"/>
      <c r="B51" s="376"/>
      <c r="C51" s="376"/>
      <c r="D51" s="381"/>
      <c r="E51" s="377"/>
      <c r="F51" s="377"/>
      <c r="G51" s="376"/>
      <c r="H51" s="376"/>
      <c r="I51" s="381"/>
      <c r="J51" s="377"/>
      <c r="K51" s="377"/>
      <c r="L51" s="376"/>
      <c r="M51" s="376"/>
      <c r="O51" s="82">
        <v>1.02</v>
      </c>
      <c r="P51" s="82">
        <f t="shared" si="2"/>
        <v>81.712199999999996</v>
      </c>
      <c r="Q51" s="2"/>
      <c r="T51" s="107" t="s">
        <v>104</v>
      </c>
      <c r="U51" s="105" t="s">
        <v>682</v>
      </c>
      <c r="W51" s="121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5">
        <f>AC51/AC52-1</f>
        <v>2.0088965418281202E-3</v>
      </c>
    </row>
    <row r="52" spans="1:42" x14ac:dyDescent="0.25">
      <c r="A52" s="376"/>
      <c r="B52" s="376"/>
      <c r="C52" s="376"/>
      <c r="D52" s="381"/>
      <c r="E52" s="377"/>
      <c r="F52" s="377"/>
      <c r="G52" s="376"/>
      <c r="H52" s="376"/>
      <c r="I52" s="381"/>
      <c r="J52" s="377"/>
      <c r="K52" s="377"/>
      <c r="L52" s="376"/>
      <c r="M52" s="376"/>
      <c r="O52" s="82">
        <v>1.01</v>
      </c>
      <c r="P52" s="82">
        <f t="shared" si="2"/>
        <v>80.911100000000005</v>
      </c>
      <c r="Q52" s="2"/>
      <c r="T52" s="107" t="s">
        <v>105</v>
      </c>
      <c r="U52" s="105" t="s">
        <v>683</v>
      </c>
      <c r="W52" s="121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5">
        <f t="shared" si="1"/>
        <v>-1.6094875052943713E-2</v>
      </c>
    </row>
    <row r="53" spans="1:42" x14ac:dyDescent="0.25">
      <c r="A53" s="376"/>
      <c r="B53" s="376"/>
      <c r="C53" s="376"/>
      <c r="D53" s="381"/>
      <c r="E53" s="377"/>
      <c r="F53" s="377"/>
      <c r="G53" s="376"/>
      <c r="H53" s="376"/>
      <c r="I53" s="381"/>
      <c r="J53" s="377"/>
      <c r="K53" s="377"/>
      <c r="L53" s="376"/>
      <c r="M53" s="376"/>
      <c r="O53" s="82">
        <v>1</v>
      </c>
      <c r="P53" s="82">
        <f t="shared" si="2"/>
        <v>80.11</v>
      </c>
      <c r="Q53" s="2"/>
      <c r="T53" s="107" t="s">
        <v>106</v>
      </c>
      <c r="U53" s="106">
        <v>1452972</v>
      </c>
      <c r="W53" s="121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5">
        <f t="shared" si="1"/>
        <v>1.214632752214917E-2</v>
      </c>
      <c r="AL53" s="231"/>
      <c r="AO53" s="231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79.308899999999994</v>
      </c>
      <c r="Q54" s="2"/>
      <c r="T54" s="107" t="s">
        <v>109</v>
      </c>
      <c r="U54" s="106">
        <v>1089500</v>
      </c>
      <c r="W54" s="121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5">
        <f t="shared" si="1"/>
        <v>2.2916069894014512E-3</v>
      </c>
    </row>
    <row r="55" spans="1:42" x14ac:dyDescent="0.25">
      <c r="O55" s="82">
        <v>0.98</v>
      </c>
      <c r="P55" s="82">
        <f t="shared" si="2"/>
        <v>78.507800000000003</v>
      </c>
      <c r="T55" s="107" t="s">
        <v>107</v>
      </c>
      <c r="U55" s="105" t="s">
        <v>684</v>
      </c>
      <c r="W55" s="121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5">
        <f t="shared" si="1"/>
        <v>1.8823872756456916E-2</v>
      </c>
    </row>
    <row r="56" spans="1:42" x14ac:dyDescent="0.25">
      <c r="O56" s="82">
        <v>0.97</v>
      </c>
      <c r="P56" s="82">
        <f t="shared" si="2"/>
        <v>77.706699999999998</v>
      </c>
      <c r="T56" s="107" t="s">
        <v>110</v>
      </c>
      <c r="U56" s="105">
        <v>20.99</v>
      </c>
      <c r="W56" s="121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5">
        <f t="shared" si="1"/>
        <v>-1.3246940244780459E-2</v>
      </c>
    </row>
    <row r="57" spans="1:42" x14ac:dyDescent="0.25">
      <c r="O57" s="82">
        <v>0.96</v>
      </c>
      <c r="P57" s="82">
        <f t="shared" si="2"/>
        <v>76.905599999999993</v>
      </c>
      <c r="T57" s="107" t="s">
        <v>111</v>
      </c>
      <c r="U57" s="105">
        <v>3.5</v>
      </c>
      <c r="W57" s="121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5">
        <f t="shared" si="1"/>
        <v>-7.8571428571427848E-3</v>
      </c>
      <c r="AL57" s="231"/>
      <c r="AO57" s="231"/>
    </row>
    <row r="58" spans="1:42" x14ac:dyDescent="0.25">
      <c r="O58" s="82">
        <v>0.95</v>
      </c>
      <c r="P58" s="82">
        <f t="shared" si="2"/>
        <v>76.104500000000002</v>
      </c>
      <c r="T58" s="107" t="s">
        <v>108</v>
      </c>
      <c r="U58" s="105" t="s">
        <v>555</v>
      </c>
      <c r="W58" s="121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5">
        <f t="shared" si="1"/>
        <v>-9.9009900990099098E-3</v>
      </c>
    </row>
    <row r="59" spans="1:42" x14ac:dyDescent="0.25">
      <c r="O59" s="82">
        <v>0.94</v>
      </c>
      <c r="P59" s="82">
        <f t="shared" si="2"/>
        <v>75.303399999999996</v>
      </c>
      <c r="W59" s="121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5">
        <f t="shared" si="1"/>
        <v>6.1192543048242953E-3</v>
      </c>
      <c r="AL59" s="231"/>
    </row>
    <row r="60" spans="1:42" x14ac:dyDescent="0.25">
      <c r="O60" s="82">
        <v>0.93</v>
      </c>
      <c r="P60" s="82">
        <f t="shared" si="2"/>
        <v>74.502300000000005</v>
      </c>
      <c r="W60" s="121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5">
        <f t="shared" si="1"/>
        <v>9.9715099715091959E-4</v>
      </c>
    </row>
    <row r="61" spans="1:42" x14ac:dyDescent="0.25">
      <c r="O61" s="82">
        <v>0.92</v>
      </c>
      <c r="P61" s="82">
        <f t="shared" si="2"/>
        <v>73.7012</v>
      </c>
      <c r="W61" s="121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5">
        <f t="shared" si="1"/>
        <v>1.7391304347826209E-2</v>
      </c>
      <c r="AL61" s="231"/>
      <c r="AO61" s="231"/>
    </row>
    <row r="62" spans="1:42" x14ac:dyDescent="0.25">
      <c r="O62" s="82">
        <v>0.91</v>
      </c>
      <c r="P62" s="82">
        <f t="shared" si="2"/>
        <v>72.900100000000009</v>
      </c>
      <c r="W62" s="121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5">
        <f t="shared" si="1"/>
        <v>7.5934579439251859E-3</v>
      </c>
    </row>
    <row r="63" spans="1:42" x14ac:dyDescent="0.25">
      <c r="O63" s="82">
        <v>0.9</v>
      </c>
      <c r="P63" s="82">
        <f t="shared" si="2"/>
        <v>72.099000000000004</v>
      </c>
      <c r="W63" s="121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5">
        <f t="shared" si="1"/>
        <v>-5.0849920092982392E-3</v>
      </c>
      <c r="AL63" s="231"/>
      <c r="AO63" s="231"/>
      <c r="AP63" s="231"/>
    </row>
    <row r="64" spans="1:42" x14ac:dyDescent="0.25">
      <c r="W64" s="121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5">
        <f t="shared" si="1"/>
        <v>-4.6276211135214407E-3</v>
      </c>
    </row>
    <row r="65" spans="23:41" x14ac:dyDescent="0.25">
      <c r="W65" s="121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5">
        <f t="shared" si="1"/>
        <v>7.5768614308613369E-3</v>
      </c>
      <c r="AL65" s="231"/>
      <c r="AO65" s="231"/>
    </row>
    <row r="66" spans="23:41" x14ac:dyDescent="0.25">
      <c r="W66" s="121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5">
        <f t="shared" si="1"/>
        <v>2.3411869967193466E-2</v>
      </c>
    </row>
    <row r="67" spans="23:41" x14ac:dyDescent="0.25">
      <c r="W67" s="121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5">
        <f>AC67/AC68-1</f>
        <v>-7.4504544777231896E-4</v>
      </c>
      <c r="AL67" s="231"/>
    </row>
    <row r="68" spans="23:41" x14ac:dyDescent="0.25">
      <c r="W68" s="121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5" t="e">
        <f>AC68/AC69-1</f>
        <v>#DIV/0!</v>
      </c>
    </row>
    <row r="69" spans="23:41" x14ac:dyDescent="0.25">
      <c r="W69" s="30" t="s">
        <v>120</v>
      </c>
      <c r="AB69" s="232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8" priority="39">
      <formula>Q12&gt;0</formula>
    </cfRule>
    <cfRule type="expression" dxfId="52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26" priority="33">
      <formula>F25&gt;0</formula>
    </cfRule>
    <cfRule type="expression" dxfId="525" priority="34">
      <formula>F25&lt;0</formula>
    </cfRule>
  </conditionalFormatting>
  <conditionalFormatting sqref="F30">
    <cfRule type="expression" dxfId="524" priority="31">
      <formula>F30&gt;0</formula>
    </cfRule>
    <cfRule type="expression" dxfId="523" priority="32">
      <formula>F30&lt;0</formula>
    </cfRule>
  </conditionalFormatting>
  <conditionalFormatting sqref="F31">
    <cfRule type="expression" dxfId="522" priority="29">
      <formula>F31&gt;0</formula>
    </cfRule>
    <cfRule type="expression" dxfId="521" priority="30">
      <formula>F31&lt;0</formula>
    </cfRule>
  </conditionalFormatting>
  <conditionalFormatting sqref="F32:F34">
    <cfRule type="expression" dxfId="520" priority="27">
      <formula>F32&gt;0</formula>
    </cfRule>
    <cfRule type="expression" dxfId="519" priority="28">
      <formula>F32&lt;0</formula>
    </cfRule>
  </conditionalFormatting>
  <conditionalFormatting sqref="H25:H29">
    <cfRule type="expression" dxfId="518" priority="25">
      <formula>H25&gt;0</formula>
    </cfRule>
    <cfRule type="expression" dxfId="517" priority="26">
      <formula>H25&lt;0</formula>
    </cfRule>
  </conditionalFormatting>
  <conditionalFormatting sqref="H30">
    <cfRule type="expression" dxfId="516" priority="23">
      <formula>H30&gt;0</formula>
    </cfRule>
    <cfRule type="expression" dxfId="515" priority="24">
      <formula>H30&lt;0</formula>
    </cfRule>
  </conditionalFormatting>
  <conditionalFormatting sqref="H31">
    <cfRule type="expression" dxfId="514" priority="21">
      <formula>H31&gt;0</formula>
    </cfRule>
    <cfRule type="expression" dxfId="513" priority="22">
      <formula>H31&lt;0</formula>
    </cfRule>
  </conditionalFormatting>
  <conditionalFormatting sqref="H32:H34">
    <cfRule type="expression" dxfId="512" priority="19">
      <formula>H32&gt;0</formula>
    </cfRule>
    <cfRule type="expression" dxfId="511" priority="20">
      <formula>H32&lt;0</formula>
    </cfRule>
  </conditionalFormatting>
  <conditionalFormatting sqref="F35">
    <cfRule type="expression" dxfId="510" priority="17">
      <formula>F35&gt;0</formula>
    </cfRule>
    <cfRule type="expression" dxfId="509" priority="18">
      <formula>F35&lt;0</formula>
    </cfRule>
  </conditionalFormatting>
  <conditionalFormatting sqref="H35">
    <cfRule type="expression" dxfId="508" priority="15">
      <formula>H35&gt;0</formula>
    </cfRule>
    <cfRule type="expression" dxfId="507" priority="16">
      <formula>H35&lt;0</formula>
    </cfRule>
  </conditionalFormatting>
  <conditionalFormatting sqref="F36">
    <cfRule type="expression" dxfId="506" priority="13">
      <formula>F36&gt;0</formula>
    </cfRule>
    <cfRule type="expression" dxfId="505" priority="14">
      <formula>F36&lt;0</formula>
    </cfRule>
  </conditionalFormatting>
  <conditionalFormatting sqref="H36">
    <cfRule type="expression" dxfId="504" priority="11">
      <formula>H36&gt;0</formula>
    </cfRule>
    <cfRule type="expression" dxfId="503" priority="12">
      <formula>H36&lt;0</formula>
    </cfRule>
  </conditionalFormatting>
  <conditionalFormatting sqref="H23:H24">
    <cfRule type="expression" dxfId="502" priority="5">
      <formula>H23&gt;0</formula>
    </cfRule>
    <cfRule type="expression" dxfId="501" priority="6">
      <formula>H23&lt;0</formula>
    </cfRule>
  </conditionalFormatting>
  <conditionalFormatting sqref="F23:F24">
    <cfRule type="expression" dxfId="500" priority="7">
      <formula>F23&gt;0</formula>
    </cfRule>
    <cfRule type="expression" dxfId="499" priority="8">
      <formula>F23&lt;0</formula>
    </cfRule>
  </conditionalFormatting>
  <conditionalFormatting sqref="Q7">
    <cfRule type="expression" dxfId="498" priority="3">
      <formula>Q7&gt;0</formula>
    </cfRule>
    <cfRule type="expression" dxfId="497" priority="4">
      <formula>Q7&lt;0</formula>
    </cfRule>
  </conditionalFormatting>
  <conditionalFormatting sqref="Q8">
    <cfRule type="expression" dxfId="496" priority="1">
      <formula>Q8&gt;0</formula>
    </cfRule>
    <cfRule type="expression" dxfId="49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52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2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240</v>
      </c>
      <c r="T2" s="84">
        <v>42566</v>
      </c>
      <c r="U2" t="s">
        <v>237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5">
        <f>AC2/AC3-1</f>
        <v>-3.9855072463769181E-3</v>
      </c>
    </row>
    <row r="3" spans="1:40" x14ac:dyDescent="0.25">
      <c r="A3" s="23" t="s">
        <v>71</v>
      </c>
      <c r="B3" s="452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M3" s="3"/>
      <c r="O3" s="11" t="s">
        <v>58</v>
      </c>
      <c r="Q3" s="227">
        <f>IF(Q2=0, Q4, (F18-K18-M18)/Q2)</f>
        <v>52.723333333333329</v>
      </c>
      <c r="T3" s="119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5">
        <f>AC3/AC4-1</f>
        <v>-5.2261668769147951E-3</v>
      </c>
      <c r="AN3" s="231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2"/>
      <c r="I4" s="3"/>
      <c r="J4" s="3"/>
      <c r="K4" s="3"/>
      <c r="L4" s="73"/>
      <c r="M4" s="4"/>
      <c r="O4" s="11" t="s">
        <v>66</v>
      </c>
      <c r="Q4" s="55">
        <v>52.85</v>
      </c>
      <c r="R4" s="497">
        <v>2.0000000000000001E-4</v>
      </c>
      <c r="T4" s="119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5">
        <f t="shared" ref="AE4:AE66" si="2">AC4/AC5-1</f>
        <v>-3.0542579949693893E-3</v>
      </c>
      <c r="AK4" s="231"/>
      <c r="AN4" s="231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 t="shared" si="0"/>
        <v>4070.4</v>
      </c>
      <c r="G5" s="73"/>
      <c r="H5" s="388"/>
      <c r="I5" s="74"/>
      <c r="J5" s="74"/>
      <c r="K5" s="74"/>
      <c r="L5" s="4"/>
      <c r="M5" s="4"/>
      <c r="O5" s="11" t="s">
        <v>67</v>
      </c>
      <c r="Q5" s="3">
        <f>Q4*Q2</f>
        <v>12684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5">
        <f t="shared" si="2"/>
        <v>-1.0312944523470979E-2</v>
      </c>
      <c r="AK5" s="231"/>
      <c r="AN5" s="231"/>
    </row>
    <row r="6" spans="1:40" x14ac:dyDescent="0.25">
      <c r="B6" s="496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2"/>
      <c r="I6" s="3"/>
      <c r="J6" s="3"/>
      <c r="K6" s="74"/>
      <c r="L6" s="4"/>
      <c r="M6" s="4"/>
      <c r="O6" s="11" t="s">
        <v>64</v>
      </c>
      <c r="Q6" s="2">
        <f>Q3*Q2</f>
        <v>12653.599999999999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5">
        <f t="shared" si="2"/>
        <v>1.0238907849829282E-2</v>
      </c>
    </row>
    <row r="7" spans="1:40" x14ac:dyDescent="0.25">
      <c r="B7" s="496">
        <v>42951</v>
      </c>
      <c r="C7" s="4">
        <v>80</v>
      </c>
      <c r="D7" s="3">
        <v>52.61</v>
      </c>
      <c r="E7" s="3">
        <v>0</v>
      </c>
      <c r="F7" s="3">
        <f t="shared" si="0"/>
        <v>4208.8</v>
      </c>
      <c r="G7" s="73"/>
      <c r="H7" s="182"/>
      <c r="I7" s="3"/>
      <c r="J7" s="3"/>
      <c r="K7" s="74"/>
      <c r="L7" s="4"/>
      <c r="M7" s="4"/>
      <c r="O7" s="11" t="s">
        <v>179</v>
      </c>
      <c r="P7"/>
      <c r="Q7" s="2">
        <f>Q10+Q8</f>
        <v>1235.2800000000025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5">
        <f t="shared" si="2"/>
        <v>-5.1822730521801086E-3</v>
      </c>
      <c r="AK7" s="231"/>
      <c r="AN7" s="231"/>
    </row>
    <row r="8" spans="1:40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Q8" s="2">
        <f>K18+M18-F18+Q2*Q4</f>
        <v>30.400000000001455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5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P9"/>
      <c r="Q9" s="135">
        <f>IF(Q2=0, 0, Q8/Q6)</f>
        <v>2.4024783460834431E-3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5">
        <f t="shared" si="2"/>
        <v>-7.8810675264194829E-3</v>
      </c>
      <c r="AK9" s="231"/>
      <c r="AN9" s="231"/>
    </row>
    <row r="10" spans="1:40" x14ac:dyDescent="0.25">
      <c r="B10" s="73"/>
      <c r="C10" s="4"/>
      <c r="D10" s="3"/>
      <c r="E10" s="3"/>
      <c r="F10" s="3"/>
      <c r="G10" s="4"/>
      <c r="H10" s="182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5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2"/>
      <c r="I11" s="3"/>
      <c r="J11" s="3"/>
      <c r="K11" s="3"/>
      <c r="L11" s="4"/>
      <c r="M11" s="4"/>
      <c r="O11" s="11" t="s">
        <v>176</v>
      </c>
      <c r="Q11" s="135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5">
        <f t="shared" si="2"/>
        <v>-1.4458702331465734E-3</v>
      </c>
      <c r="AK11" s="231"/>
      <c r="AN11" s="231"/>
    </row>
    <row r="12" spans="1:40" x14ac:dyDescent="0.25">
      <c r="B12" s="4"/>
      <c r="C12" s="4"/>
      <c r="D12" s="3"/>
      <c r="E12" s="3"/>
      <c r="F12" s="3"/>
      <c r="G12" s="4"/>
      <c r="H12" s="182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5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2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5">
        <f t="shared" si="2"/>
        <v>-3.088669095956964E-2</v>
      </c>
      <c r="AK13" s="231"/>
      <c r="AN13" s="231"/>
    </row>
    <row r="14" spans="1:40" x14ac:dyDescent="0.25">
      <c r="B14" s="4"/>
      <c r="C14" s="4"/>
      <c r="D14" s="3"/>
      <c r="E14" s="3"/>
      <c r="F14" s="3"/>
      <c r="G14" s="4"/>
      <c r="H14" s="182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5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5">
        <f t="shared" si="2"/>
        <v>-1.0957518543492917E-2</v>
      </c>
      <c r="AK15" s="231"/>
      <c r="AN15" s="231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5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5">
        <f t="shared" si="2"/>
        <v>-8.509189925118843E-4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5">
        <f t="shared" si="2"/>
        <v>1.0221465076660774E-3</v>
      </c>
    </row>
    <row r="19" spans="1:40" ht="15.75" thickBot="1" x14ac:dyDescent="0.3">
      <c r="A19" s="351" t="s">
        <v>195</v>
      </c>
      <c r="B19" s="352"/>
      <c r="C19" s="353">
        <f>SumByColor($A$19,C2:C17)</f>
        <v>80</v>
      </c>
      <c r="D19" s="353"/>
      <c r="E19" s="353"/>
      <c r="F19" s="354">
        <f>SumByColor($A$19,F2:F17)</f>
        <v>0</v>
      </c>
      <c r="G19" s="353"/>
      <c r="H19" s="353">
        <f>SumByColor($A$19,H2:H17)</f>
        <v>80</v>
      </c>
      <c r="I19" s="353"/>
      <c r="J19" s="353"/>
      <c r="K19" s="354">
        <f>SumByColor($A$19,K2:K17)</f>
        <v>4464</v>
      </c>
      <c r="L19" s="353"/>
      <c r="M19" s="354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5">
        <f t="shared" si="2"/>
        <v>-2.5488530161427159E-3</v>
      </c>
      <c r="AK19" s="231"/>
      <c r="AN19" s="231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5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5">
        <f t="shared" si="2"/>
        <v>8.4177976292734158E-3</v>
      </c>
      <c r="AK21" s="231"/>
      <c r="AN21" s="231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5">
        <f t="shared" si="2"/>
        <v>-1.5437392795882854E-3</v>
      </c>
    </row>
    <row r="23" spans="1:40" x14ac:dyDescent="0.25">
      <c r="B23" s="188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K23" s="226" t="s">
        <v>740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5">
        <f t="shared" si="2"/>
        <v>-5.2891997952567715E-3</v>
      </c>
      <c r="AK23" s="231"/>
    </row>
    <row r="24" spans="1:40" x14ac:dyDescent="0.25">
      <c r="A24" s="474"/>
      <c r="B24" s="473">
        <v>42718</v>
      </c>
      <c r="C24" s="474">
        <v>40</v>
      </c>
      <c r="D24" s="651">
        <v>54.28</v>
      </c>
      <c r="E24" s="475">
        <v>54.7</v>
      </c>
      <c r="F24" s="475">
        <f t="shared" ref="F24:F33" si="3">C24*(E24-D24)</f>
        <v>16.800000000000068</v>
      </c>
      <c r="G24" s="475">
        <f t="shared" ref="G24:G33" si="4">D24*C24</f>
        <v>2171.1999999999998</v>
      </c>
      <c r="H24" s="613">
        <f t="shared" ref="H24:H33" si="5">(E24-D24)/D24</f>
        <v>7.7376565954311296E-3</v>
      </c>
      <c r="I24" s="475"/>
      <c r="J24" s="475"/>
      <c r="K24" s="475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5">
        <f t="shared" si="2"/>
        <v>-4.7546272711835869E-3</v>
      </c>
    </row>
    <row r="25" spans="1:40" x14ac:dyDescent="0.25">
      <c r="A25" s="474"/>
      <c r="B25" s="473">
        <v>42733</v>
      </c>
      <c r="C25" s="474">
        <v>80</v>
      </c>
      <c r="D25" s="651">
        <v>54.43</v>
      </c>
      <c r="E25" s="475">
        <v>54.58</v>
      </c>
      <c r="F25" s="475">
        <f t="shared" si="3"/>
        <v>11.999999999999886</v>
      </c>
      <c r="G25" s="475">
        <f t="shared" si="4"/>
        <v>4354.3999999999996</v>
      </c>
      <c r="H25" s="613">
        <f t="shared" si="5"/>
        <v>2.7558331802314639E-3</v>
      </c>
      <c r="I25" s="475"/>
      <c r="J25" s="475"/>
      <c r="K25" s="475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5">
        <f t="shared" si="2"/>
        <v>3.0659172202349705E-3</v>
      </c>
    </row>
    <row r="26" spans="1:40" x14ac:dyDescent="0.25">
      <c r="A26" s="474"/>
      <c r="B26" s="473">
        <v>42740</v>
      </c>
      <c r="C26" s="474">
        <v>120</v>
      </c>
      <c r="D26" s="651">
        <v>54.5867</v>
      </c>
      <c r="E26" s="475">
        <v>55.18</v>
      </c>
      <c r="F26" s="475">
        <f t="shared" si="3"/>
        <v>71.195999999999913</v>
      </c>
      <c r="G26" s="475">
        <f t="shared" si="4"/>
        <v>6550.4040000000005</v>
      </c>
      <c r="H26" s="613">
        <f t="shared" si="5"/>
        <v>1.0868947930539843E-2</v>
      </c>
      <c r="I26" s="475"/>
      <c r="J26" s="475"/>
      <c r="K26" s="475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5">
        <f t="shared" si="2"/>
        <v>-1.7076845806127561E-2</v>
      </c>
    </row>
    <row r="27" spans="1:40" x14ac:dyDescent="0.25">
      <c r="A27" s="474" t="s">
        <v>354</v>
      </c>
      <c r="B27" s="473">
        <v>42754</v>
      </c>
      <c r="C27" s="474">
        <v>120</v>
      </c>
      <c r="D27" s="651">
        <v>54.5867</v>
      </c>
      <c r="E27" s="475">
        <v>54.58</v>
      </c>
      <c r="F27" s="475">
        <f t="shared" si="3"/>
        <v>-0.80400000000025784</v>
      </c>
      <c r="G27" s="475">
        <f t="shared" si="4"/>
        <v>6550.4040000000005</v>
      </c>
      <c r="H27" s="613">
        <f t="shared" si="5"/>
        <v>-1.2274052104271094E-4</v>
      </c>
      <c r="I27" s="475"/>
      <c r="J27" s="475"/>
      <c r="K27" s="475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5">
        <f t="shared" si="2"/>
        <v>3.1962681409813287E-2</v>
      </c>
    </row>
    <row r="28" spans="1:40" x14ac:dyDescent="0.25">
      <c r="A28" s="474" t="s">
        <v>368</v>
      </c>
      <c r="B28" s="473">
        <v>42759</v>
      </c>
      <c r="C28" s="474">
        <v>80</v>
      </c>
      <c r="D28" s="651">
        <v>54.4206</v>
      </c>
      <c r="E28" s="475">
        <v>54.78</v>
      </c>
      <c r="F28" s="475">
        <f t="shared" si="3"/>
        <v>28.752000000000066</v>
      </c>
      <c r="G28" s="475">
        <f t="shared" si="4"/>
        <v>4353.6480000000001</v>
      </c>
      <c r="H28" s="613">
        <f t="shared" si="5"/>
        <v>6.6041168234087979E-3</v>
      </c>
      <c r="I28" s="475"/>
      <c r="J28" s="475"/>
      <c r="K28" s="475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5">
        <f t="shared" si="2"/>
        <v>-3.1002411298656218E-3</v>
      </c>
    </row>
    <row r="29" spans="1:40" x14ac:dyDescent="0.25">
      <c r="A29" s="474" t="s">
        <v>368</v>
      </c>
      <c r="B29" s="473">
        <v>42760</v>
      </c>
      <c r="C29" s="474">
        <v>80</v>
      </c>
      <c r="D29" s="651">
        <v>54.4206</v>
      </c>
      <c r="E29" s="475">
        <v>56.62</v>
      </c>
      <c r="F29" s="475">
        <f t="shared" si="3"/>
        <v>175.95199999999977</v>
      </c>
      <c r="G29" s="475">
        <f t="shared" si="4"/>
        <v>4353.6480000000001</v>
      </c>
      <c r="H29" s="613">
        <f t="shared" si="5"/>
        <v>4.0414842908751414E-2</v>
      </c>
      <c r="I29" s="475"/>
      <c r="J29" s="475"/>
      <c r="K29" s="475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5">
        <f t="shared" si="2"/>
        <v>4.3245113302197158E-3</v>
      </c>
    </row>
    <row r="30" spans="1:40" x14ac:dyDescent="0.25">
      <c r="A30" s="474" t="s">
        <v>401</v>
      </c>
      <c r="B30" s="473">
        <v>42767</v>
      </c>
      <c r="C30" s="474">
        <v>80</v>
      </c>
      <c r="D30" s="651">
        <v>54.2363</v>
      </c>
      <c r="E30" s="475">
        <v>55.91</v>
      </c>
      <c r="F30" s="475">
        <f t="shared" si="3"/>
        <v>133.89599999999973</v>
      </c>
      <c r="G30" s="475">
        <f t="shared" si="4"/>
        <v>4338.9040000000005</v>
      </c>
      <c r="H30" s="613">
        <f t="shared" si="5"/>
        <v>3.085940596980245E-2</v>
      </c>
      <c r="I30" s="475"/>
      <c r="J30" s="475"/>
      <c r="K30" s="475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5">
        <f t="shared" si="2"/>
        <v>-1.1625918960506021E-2</v>
      </c>
    </row>
    <row r="31" spans="1:40" x14ac:dyDescent="0.25">
      <c r="A31" s="474" t="s">
        <v>418</v>
      </c>
      <c r="B31" s="473">
        <v>42771</v>
      </c>
      <c r="C31" s="474">
        <v>80</v>
      </c>
      <c r="D31" s="651">
        <v>54.2363</v>
      </c>
      <c r="E31" s="475">
        <v>57.27</v>
      </c>
      <c r="F31" s="475">
        <f t="shared" si="3"/>
        <v>242.69600000000025</v>
      </c>
      <c r="G31" s="475">
        <f t="shared" si="4"/>
        <v>4338.9040000000005</v>
      </c>
      <c r="H31" s="613">
        <f t="shared" si="5"/>
        <v>5.5934862813281937E-2</v>
      </c>
      <c r="I31" s="475"/>
      <c r="J31" s="475"/>
      <c r="K31" s="475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5">
        <f t="shared" si="2"/>
        <v>2.2275531185744768E-3</v>
      </c>
    </row>
    <row r="32" spans="1:40" x14ac:dyDescent="0.25">
      <c r="A32" s="474" t="s">
        <v>448</v>
      </c>
      <c r="B32" s="473">
        <v>42781</v>
      </c>
      <c r="C32" s="474">
        <v>40</v>
      </c>
      <c r="D32" s="651">
        <v>49.9938</v>
      </c>
      <c r="E32" s="475">
        <v>58.48</v>
      </c>
      <c r="F32" s="475">
        <f t="shared" si="3"/>
        <v>339.44799999999987</v>
      </c>
      <c r="G32" s="475">
        <f t="shared" si="4"/>
        <v>1999.752</v>
      </c>
      <c r="H32" s="613">
        <f t="shared" si="5"/>
        <v>0.1697450483859998</v>
      </c>
      <c r="I32" s="475"/>
      <c r="J32" s="475"/>
      <c r="K32" s="475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5">
        <f t="shared" si="2"/>
        <v>1.8884120171673846E-3</v>
      </c>
    </row>
    <row r="33" spans="1:31" x14ac:dyDescent="0.25">
      <c r="A33" s="474" t="s">
        <v>368</v>
      </c>
      <c r="B33" s="473">
        <v>42782</v>
      </c>
      <c r="C33" s="474">
        <v>80</v>
      </c>
      <c r="D33" s="651">
        <v>53.921900000000001</v>
      </c>
      <c r="E33" s="475">
        <v>58.12</v>
      </c>
      <c r="F33" s="475">
        <f t="shared" si="3"/>
        <v>335.84799999999973</v>
      </c>
      <c r="G33" s="475">
        <f t="shared" si="4"/>
        <v>4313.7520000000004</v>
      </c>
      <c r="H33" s="613">
        <f t="shared" si="5"/>
        <v>7.7855194271715139E-2</v>
      </c>
      <c r="I33" s="475"/>
      <c r="J33" s="475"/>
      <c r="K33" s="475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5">
        <f t="shared" si="2"/>
        <v>2.7543467033912528E-3</v>
      </c>
    </row>
    <row r="34" spans="1:31" x14ac:dyDescent="0.25">
      <c r="A34" s="609" t="s">
        <v>493</v>
      </c>
      <c r="B34" s="608">
        <v>42795</v>
      </c>
      <c r="C34" s="609">
        <v>80</v>
      </c>
      <c r="D34" s="674">
        <v>57.265000000000001</v>
      </c>
      <c r="E34" s="610">
        <v>59.73</v>
      </c>
      <c r="F34" s="610">
        <f t="shared" ref="F34" si="6">C34*(E34-D34)</f>
        <v>197.1999999999997</v>
      </c>
      <c r="G34" s="610">
        <f t="shared" ref="G34" si="7">D34*C34</f>
        <v>4581.2</v>
      </c>
      <c r="H34" s="675">
        <f t="shared" ref="H34" si="8">(E34-D34)/D34</f>
        <v>4.3045490264559443E-2</v>
      </c>
      <c r="I34" s="610">
        <v>57</v>
      </c>
      <c r="J34" s="610">
        <v>1293</v>
      </c>
      <c r="K34" s="610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5">
        <f t="shared" si="2"/>
        <v>-5.1617343427379225E-4</v>
      </c>
    </row>
    <row r="35" spans="1:31" x14ac:dyDescent="0.25">
      <c r="A35" s="609" t="s">
        <v>505</v>
      </c>
      <c r="B35" s="608">
        <v>42803</v>
      </c>
      <c r="C35" s="609">
        <v>40</v>
      </c>
      <c r="D35" s="674">
        <v>57.265000000000001</v>
      </c>
      <c r="E35" s="610">
        <v>58.7</v>
      </c>
      <c r="F35" s="610">
        <f t="shared" ref="F35:F36" si="9">C35*(E35-D35)</f>
        <v>57.400000000000091</v>
      </c>
      <c r="G35" s="610">
        <f t="shared" ref="G35:G36" si="10">D35*C35</f>
        <v>2290.6</v>
      </c>
      <c r="H35" s="675">
        <f t="shared" ref="H35:H36" si="11">(E35-D35)/D35</f>
        <v>2.5058936523181738E-2</v>
      </c>
      <c r="I35" s="610"/>
      <c r="J35" s="610">
        <v>1239</v>
      </c>
      <c r="K35" s="610">
        <f t="shared" ref="K35:K42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5">
        <f t="shared" si="2"/>
        <v>-7.3441502988897955E-3</v>
      </c>
    </row>
    <row r="36" spans="1:31" x14ac:dyDescent="0.25">
      <c r="B36" s="190">
        <v>42809</v>
      </c>
      <c r="C36" s="10">
        <v>40</v>
      </c>
      <c r="D36" s="197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8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5">
        <f t="shared" si="2"/>
        <v>9.830976198689223E-3</v>
      </c>
    </row>
    <row r="37" spans="1:31" x14ac:dyDescent="0.25">
      <c r="B37" s="190">
        <v>42815</v>
      </c>
      <c r="C37" s="10">
        <v>80</v>
      </c>
      <c r="D37" s="197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8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5">
        <f t="shared" si="2"/>
        <v>1.5767344078486234E-2</v>
      </c>
    </row>
    <row r="38" spans="1:31" x14ac:dyDescent="0.25">
      <c r="A38">
        <v>40</v>
      </c>
      <c r="B38" s="190">
        <v>42836</v>
      </c>
      <c r="C38" s="10">
        <v>120</v>
      </c>
      <c r="D38" s="197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8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5">
        <f t="shared" si="2"/>
        <v>3.8691523039042774E-3</v>
      </c>
    </row>
    <row r="39" spans="1:31" ht="20.25" thickBot="1" x14ac:dyDescent="0.35">
      <c r="A39">
        <v>80</v>
      </c>
      <c r="B39" s="190">
        <v>42862</v>
      </c>
      <c r="C39" s="10">
        <v>120</v>
      </c>
      <c r="D39" s="197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8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16" t="s">
        <v>78</v>
      </c>
      <c r="Q39" s="716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5">
        <f t="shared" si="2"/>
        <v>2.2915564956813572E-3</v>
      </c>
    </row>
    <row r="40" spans="1:31" ht="15.75" thickTop="1" x14ac:dyDescent="0.25">
      <c r="A40">
        <v>120</v>
      </c>
      <c r="B40" s="190">
        <v>42886</v>
      </c>
      <c r="C40" s="10">
        <v>200</v>
      </c>
      <c r="D40" s="197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8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58.135000000000005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5">
        <f t="shared" si="2"/>
        <v>1.9773503505302825E-2</v>
      </c>
    </row>
    <row r="41" spans="1:31" x14ac:dyDescent="0.25">
      <c r="A41">
        <v>120</v>
      </c>
      <c r="B41" s="190">
        <v>42917</v>
      </c>
      <c r="C41" s="10">
        <v>120</v>
      </c>
      <c r="D41" s="197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8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57.606500000000004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5">
        <f t="shared" si="2"/>
        <v>-1.2602058927937532E-2</v>
      </c>
    </row>
    <row r="42" spans="1:31" ht="20.25" thickBot="1" x14ac:dyDescent="0.35">
      <c r="A42">
        <v>120</v>
      </c>
      <c r="B42" s="190">
        <v>42944</v>
      </c>
      <c r="C42" s="10">
        <v>160</v>
      </c>
      <c r="D42" s="197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8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57.078000000000003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5">
        <f t="shared" si="2"/>
        <v>-3.7135278514587311E-3</v>
      </c>
    </row>
    <row r="43" spans="1:31" ht="15.75" thickTop="1" x14ac:dyDescent="0.25">
      <c r="B43" s="190"/>
      <c r="C43" s="10"/>
      <c r="D43" s="197"/>
      <c r="E43" s="40"/>
      <c r="F43" s="40"/>
      <c r="G43" s="40"/>
      <c r="H43" s="228"/>
      <c r="I43" s="40"/>
      <c r="J43" s="40"/>
      <c r="K43" s="40"/>
      <c r="O43" s="2"/>
      <c r="P43" s="82">
        <v>1.07</v>
      </c>
      <c r="Q43" s="82">
        <f t="shared" si="19"/>
        <v>56.549500000000002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5">
        <f t="shared" si="2"/>
        <v>-1.2572027239392436E-2</v>
      </c>
    </row>
    <row r="44" spans="1:31" x14ac:dyDescent="0.25">
      <c r="B44" s="190"/>
      <c r="C44" s="10"/>
      <c r="D44" s="197"/>
      <c r="E44" s="40"/>
      <c r="F44" s="40"/>
      <c r="G44" s="40"/>
      <c r="H44" s="228"/>
      <c r="I44" s="40"/>
      <c r="J44" s="40"/>
      <c r="K44" s="40"/>
      <c r="O44" s="2"/>
      <c r="P44" s="82">
        <v>1.06</v>
      </c>
      <c r="Q44" s="82">
        <f t="shared" si="19"/>
        <v>56.021000000000001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5">
        <f t="shared" si="2"/>
        <v>2.7264573991031549E-2</v>
      </c>
    </row>
    <row r="45" spans="1:31" x14ac:dyDescent="0.25">
      <c r="B45" s="190"/>
      <c r="C45" s="10"/>
      <c r="D45" s="197"/>
      <c r="E45" s="40"/>
      <c r="F45" s="40"/>
      <c r="G45" s="40"/>
      <c r="H45" s="228"/>
      <c r="I45" s="40"/>
      <c r="J45" s="40"/>
      <c r="K45" s="40"/>
      <c r="O45" s="2"/>
      <c r="P45" s="82">
        <v>1.05</v>
      </c>
      <c r="Q45" s="82">
        <f t="shared" si="19"/>
        <v>55.492500000000007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5">
        <f t="shared" si="2"/>
        <v>-2.8617420854945008E-3</v>
      </c>
    </row>
    <row r="46" spans="1:31" x14ac:dyDescent="0.25">
      <c r="B46" s="190"/>
      <c r="C46" s="10"/>
      <c r="D46" s="197"/>
      <c r="E46" s="40"/>
      <c r="F46" s="40"/>
      <c r="G46" s="40"/>
      <c r="H46" s="228"/>
      <c r="I46" s="40"/>
      <c r="J46" s="40"/>
      <c r="K46" s="40"/>
      <c r="O46" s="2"/>
      <c r="P46" s="82">
        <v>1.04</v>
      </c>
      <c r="Q46" s="82">
        <f t="shared" si="19"/>
        <v>54.964000000000006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5" t="e">
        <f t="shared" si="2"/>
        <v>#DIV/0!</v>
      </c>
    </row>
    <row r="47" spans="1:31" x14ac:dyDescent="0.25">
      <c r="B47" s="190"/>
      <c r="C47" s="10"/>
      <c r="D47" s="197"/>
      <c r="E47" s="40"/>
      <c r="F47" s="40"/>
      <c r="G47" s="40"/>
      <c r="H47" s="228"/>
      <c r="I47" s="40"/>
      <c r="J47" s="40"/>
      <c r="K47" s="40"/>
      <c r="O47" s="2"/>
      <c r="P47" s="82">
        <v>1.03</v>
      </c>
      <c r="Q47" s="82">
        <f t="shared" si="19"/>
        <v>54.435500000000005</v>
      </c>
      <c r="R47" s="82"/>
      <c r="T47" s="86" t="s">
        <v>101</v>
      </c>
      <c r="U47" s="87">
        <v>59.02</v>
      </c>
      <c r="W47" s="93">
        <v>42767</v>
      </c>
      <c r="X47" s="10" t="s">
        <v>185</v>
      </c>
      <c r="Y47" s="10"/>
      <c r="Z47" s="10"/>
      <c r="AA47" s="10"/>
      <c r="AB47" s="94"/>
      <c r="AC47" s="10"/>
      <c r="AD47" s="2">
        <f t="shared" si="1"/>
        <v>0</v>
      </c>
      <c r="AE47" s="135">
        <f t="shared" si="2"/>
        <v>-1</v>
      </c>
    </row>
    <row r="48" spans="1:31" x14ac:dyDescent="0.25">
      <c r="B48" s="190"/>
      <c r="C48" s="10"/>
      <c r="D48" s="197"/>
      <c r="E48" s="40"/>
      <c r="F48" s="40"/>
      <c r="G48" s="40"/>
      <c r="H48" s="228"/>
      <c r="I48" s="40"/>
      <c r="J48" s="40"/>
      <c r="K48" s="40"/>
      <c r="O48" s="2"/>
      <c r="P48" s="82">
        <v>1.02</v>
      </c>
      <c r="Q48" s="82">
        <f t="shared" si="19"/>
        <v>53.907000000000004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5">
        <f t="shared" si="2"/>
        <v>4.4883303411131781E-3</v>
      </c>
    </row>
    <row r="49" spans="2:31" x14ac:dyDescent="0.25">
      <c r="B49" s="190"/>
      <c r="C49" s="10"/>
      <c r="D49" s="197"/>
      <c r="E49" s="40"/>
      <c r="F49" s="40"/>
      <c r="G49" s="40"/>
      <c r="H49" s="228"/>
      <c r="I49" s="40"/>
      <c r="J49" s="40"/>
      <c r="K49" s="40"/>
      <c r="O49" s="2"/>
      <c r="P49" s="82">
        <v>1.01</v>
      </c>
      <c r="Q49" s="82">
        <f t="shared" si="19"/>
        <v>53.378500000000003</v>
      </c>
      <c r="R49" s="82"/>
      <c r="T49" s="86" t="s">
        <v>103</v>
      </c>
      <c r="U49" s="88" t="s">
        <v>346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5">
        <f t="shared" si="2"/>
        <v>-9.0731186621597626E-3</v>
      </c>
    </row>
    <row r="50" spans="2:31" x14ac:dyDescent="0.25">
      <c r="B50" s="190"/>
      <c r="C50" s="10"/>
      <c r="D50" s="197"/>
      <c r="E50" s="40"/>
      <c r="F50" s="40"/>
      <c r="G50" s="40"/>
      <c r="H50" s="228"/>
      <c r="I50" s="40"/>
      <c r="J50" s="40"/>
      <c r="K50" s="40"/>
      <c r="O50" s="2"/>
      <c r="P50" s="82">
        <v>1</v>
      </c>
      <c r="Q50" s="82">
        <f t="shared" si="19"/>
        <v>52.85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5">
        <f t="shared" si="2"/>
        <v>-1.021306568057756E-2</v>
      </c>
    </row>
    <row r="51" spans="2:31" x14ac:dyDescent="0.25">
      <c r="B51" s="190"/>
      <c r="C51" s="10"/>
      <c r="D51" s="197"/>
      <c r="E51" s="40"/>
      <c r="F51" s="40"/>
      <c r="G51" s="40"/>
      <c r="H51" s="228"/>
      <c r="I51" s="40"/>
      <c r="J51" s="40"/>
      <c r="K51" s="40"/>
      <c r="O51" s="2"/>
      <c r="P51" s="82">
        <v>0.99</v>
      </c>
      <c r="Q51" s="82">
        <f t="shared" si="19"/>
        <v>52.3215</v>
      </c>
      <c r="R51" s="82"/>
      <c r="T51" s="86" t="s">
        <v>104</v>
      </c>
      <c r="U51" s="87" t="s">
        <v>685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5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51.792999999999999</v>
      </c>
      <c r="R52" s="82"/>
      <c r="T52" s="86" t="s">
        <v>105</v>
      </c>
      <c r="U52" s="87" t="s">
        <v>504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5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51.264499999999998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5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50.735999999999997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5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50.207499999999996</v>
      </c>
      <c r="R55" s="82"/>
      <c r="T55" s="86" t="s">
        <v>107</v>
      </c>
      <c r="U55" s="87" t="s">
        <v>686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5">
        <f>AC55/AC56-1</f>
        <v>9.0389227079874512E-3</v>
      </c>
    </row>
    <row r="56" spans="2:31" x14ac:dyDescent="0.25">
      <c r="B56" s="188" t="s">
        <v>113</v>
      </c>
      <c r="C56" s="188" t="s">
        <v>146</v>
      </c>
      <c r="D56" s="189" t="s">
        <v>145</v>
      </c>
      <c r="E56" s="191" t="s">
        <v>147</v>
      </c>
      <c r="F56" s="191" t="s">
        <v>65</v>
      </c>
      <c r="G56" s="226" t="s">
        <v>151</v>
      </c>
      <c r="H56" s="226" t="s">
        <v>88</v>
      </c>
      <c r="I56" s="226" t="s">
        <v>154</v>
      </c>
      <c r="O56" s="2"/>
      <c r="P56" s="82">
        <v>0.94</v>
      </c>
      <c r="Q56" s="82">
        <f t="shared" si="19"/>
        <v>49.679000000000002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5">
        <f t="shared" si="2"/>
        <v>5.7513914656772691E-3</v>
      </c>
    </row>
    <row r="57" spans="2:31" x14ac:dyDescent="0.25">
      <c r="B57" s="375">
        <v>42376</v>
      </c>
      <c r="C57" s="376">
        <v>40</v>
      </c>
      <c r="D57" s="381">
        <v>50.5</v>
      </c>
      <c r="E57" s="377">
        <v>50.4</v>
      </c>
      <c r="F57" s="377">
        <f t="shared" ref="F57:F79" si="20">C57*(E57-D57)</f>
        <v>-4.0000000000000568</v>
      </c>
      <c r="G57" s="377">
        <f t="shared" ref="G57:G79" si="21">D57*C57</f>
        <v>2020</v>
      </c>
      <c r="H57" s="378">
        <f t="shared" ref="H57:H79" si="22">(E57-D57)/D57</f>
        <v>-1.9801980198020084E-3</v>
      </c>
      <c r="I57" s="377"/>
      <c r="O57" s="2"/>
      <c r="P57" s="82">
        <v>0.93</v>
      </c>
      <c r="Q57" s="82">
        <f t="shared" si="19"/>
        <v>49.150500000000001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5">
        <f t="shared" si="2"/>
        <v>8.9853987270684943E-3</v>
      </c>
    </row>
    <row r="58" spans="2:31" x14ac:dyDescent="0.25">
      <c r="B58" s="375">
        <v>42403</v>
      </c>
      <c r="C58" s="376">
        <v>40</v>
      </c>
      <c r="D58" s="381">
        <v>50.5</v>
      </c>
      <c r="E58" s="377">
        <v>47.6</v>
      </c>
      <c r="F58" s="377">
        <f t="shared" si="20"/>
        <v>-115.99999999999994</v>
      </c>
      <c r="G58" s="377">
        <f t="shared" si="21"/>
        <v>2020</v>
      </c>
      <c r="H58" s="378">
        <f t="shared" si="22"/>
        <v>-5.74257425742574E-2</v>
      </c>
      <c r="I58" s="377"/>
      <c r="O58" s="2"/>
      <c r="P58" s="82">
        <v>0.92</v>
      </c>
      <c r="Q58" s="82">
        <f t="shared" si="19"/>
        <v>48.622</v>
      </c>
      <c r="R58" s="82"/>
      <c r="T58" s="86" t="s">
        <v>108</v>
      </c>
      <c r="U58" s="87" t="s">
        <v>588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5">
        <f t="shared" si="2"/>
        <v>-2.7666545322169611E-2</v>
      </c>
    </row>
    <row r="59" spans="2:31" x14ac:dyDescent="0.25">
      <c r="B59" s="375">
        <v>42430</v>
      </c>
      <c r="C59" s="376">
        <v>40</v>
      </c>
      <c r="D59" s="381">
        <v>50.125</v>
      </c>
      <c r="E59" s="377">
        <v>48.72</v>
      </c>
      <c r="F59" s="377">
        <f t="shared" si="20"/>
        <v>-56.200000000000045</v>
      </c>
      <c r="G59" s="377">
        <f t="shared" si="21"/>
        <v>2005</v>
      </c>
      <c r="H59" s="378">
        <f t="shared" si="22"/>
        <v>-2.8029925187032442E-2</v>
      </c>
      <c r="I59" s="377" t="s">
        <v>183</v>
      </c>
      <c r="O59" s="2"/>
      <c r="P59" s="82">
        <v>0.91</v>
      </c>
      <c r="Q59" s="82">
        <f t="shared" si="19"/>
        <v>48.093500000000006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5">
        <f t="shared" si="2"/>
        <v>1.4963975614261882E-2</v>
      </c>
    </row>
    <row r="60" spans="2:31" x14ac:dyDescent="0.25">
      <c r="B60" s="375">
        <v>42431</v>
      </c>
      <c r="C60" s="376">
        <v>40</v>
      </c>
      <c r="D60" s="381">
        <v>50.125</v>
      </c>
      <c r="E60" s="377">
        <v>49.57</v>
      </c>
      <c r="F60" s="377">
        <f t="shared" si="20"/>
        <v>-22.199999999999989</v>
      </c>
      <c r="G60" s="377">
        <f t="shared" si="21"/>
        <v>2005</v>
      </c>
      <c r="H60" s="378">
        <f t="shared" si="22"/>
        <v>-1.1072319201995006E-2</v>
      </c>
      <c r="I60" s="377"/>
      <c r="O60" s="2"/>
      <c r="P60" s="82">
        <v>0.9</v>
      </c>
      <c r="Q60" s="82">
        <f t="shared" si="19"/>
        <v>47.565000000000005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5">
        <f t="shared" si="2"/>
        <v>-5.5116663604629634E-3</v>
      </c>
    </row>
    <row r="61" spans="2:31" x14ac:dyDescent="0.25">
      <c r="B61" s="375">
        <v>42438</v>
      </c>
      <c r="C61" s="376">
        <v>40</v>
      </c>
      <c r="D61" s="381">
        <v>50.125</v>
      </c>
      <c r="E61" s="377">
        <v>48.79</v>
      </c>
      <c r="F61" s="377">
        <f t="shared" si="20"/>
        <v>-53.400000000000034</v>
      </c>
      <c r="G61" s="377">
        <f t="shared" si="21"/>
        <v>2005</v>
      </c>
      <c r="H61" s="378">
        <f t="shared" si="22"/>
        <v>-2.6633416458852886E-2</v>
      </c>
      <c r="I61" s="377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5">
        <f t="shared" si="2"/>
        <v>3.3179723502303471E-3</v>
      </c>
    </row>
    <row r="62" spans="2:31" x14ac:dyDescent="0.25">
      <c r="B62" s="375">
        <v>42444</v>
      </c>
      <c r="C62" s="397">
        <v>40</v>
      </c>
      <c r="D62" s="535">
        <v>50.125</v>
      </c>
      <c r="E62" s="377">
        <v>49.98</v>
      </c>
      <c r="F62" s="377">
        <f t="shared" si="20"/>
        <v>-5.8000000000001251</v>
      </c>
      <c r="G62" s="377">
        <f t="shared" si="21"/>
        <v>2005</v>
      </c>
      <c r="H62" s="378">
        <f t="shared" si="22"/>
        <v>-2.8927680798005611E-3</v>
      </c>
      <c r="I62" s="377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5">
        <f t="shared" si="2"/>
        <v>7.054018934471884E-3</v>
      </c>
    </row>
    <row r="63" spans="2:31" x14ac:dyDescent="0.25">
      <c r="B63" s="375">
        <v>42466</v>
      </c>
      <c r="C63" s="397">
        <v>80</v>
      </c>
      <c r="D63" s="535">
        <v>48.752499999999998</v>
      </c>
      <c r="E63" s="377">
        <v>48.08</v>
      </c>
      <c r="F63" s="377">
        <f t="shared" si="20"/>
        <v>-53.799999999999955</v>
      </c>
      <c r="G63" s="377">
        <f t="shared" si="21"/>
        <v>3900.2</v>
      </c>
      <c r="H63" s="378">
        <f t="shared" si="22"/>
        <v>-1.3794164401825536E-2</v>
      </c>
      <c r="I63" s="377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5">
        <f t="shared" si="2"/>
        <v>-1.4633254069873813E-2</v>
      </c>
    </row>
    <row r="64" spans="2:31" x14ac:dyDescent="0.25">
      <c r="B64" s="375">
        <v>42469</v>
      </c>
      <c r="C64" s="397">
        <v>80</v>
      </c>
      <c r="D64" s="535">
        <v>48.752499999999998</v>
      </c>
      <c r="E64" s="377">
        <v>47.07</v>
      </c>
      <c r="F64" s="377">
        <f t="shared" si="20"/>
        <v>-134.5999999999998</v>
      </c>
      <c r="G64" s="377">
        <f t="shared" si="21"/>
        <v>3900.2</v>
      </c>
      <c r="H64" s="378">
        <f t="shared" si="22"/>
        <v>-3.451105071534788E-2</v>
      </c>
      <c r="I64" s="377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5">
        <f t="shared" si="2"/>
        <v>-2.5542784163473664E-3</v>
      </c>
    </row>
    <row r="65" spans="2:31" x14ac:dyDescent="0.25">
      <c r="B65" s="375">
        <v>42473</v>
      </c>
      <c r="C65" s="397">
        <v>40</v>
      </c>
      <c r="D65" s="535">
        <v>48.595999999999997</v>
      </c>
      <c r="E65" s="377">
        <v>49.03</v>
      </c>
      <c r="F65" s="377">
        <f t="shared" si="20"/>
        <v>17.360000000000184</v>
      </c>
      <c r="G65" s="377">
        <f t="shared" si="21"/>
        <v>1943.84</v>
      </c>
      <c r="H65" s="378">
        <f t="shared" si="22"/>
        <v>8.9307761955717477E-3</v>
      </c>
      <c r="I65" s="377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5">
        <f t="shared" si="2"/>
        <v>-1.5448176755882836E-2</v>
      </c>
    </row>
    <row r="66" spans="2:31" x14ac:dyDescent="0.25">
      <c r="B66" s="375">
        <v>42474</v>
      </c>
      <c r="C66" s="397">
        <v>80</v>
      </c>
      <c r="D66" s="535">
        <v>48.573</v>
      </c>
      <c r="E66" s="377">
        <v>48.79</v>
      </c>
      <c r="F66" s="377">
        <f t="shared" si="20"/>
        <v>17.3599999999999</v>
      </c>
      <c r="G66" s="377">
        <f t="shared" si="21"/>
        <v>3885.84</v>
      </c>
      <c r="H66" s="378">
        <f t="shared" si="22"/>
        <v>4.4675025219772044E-3</v>
      </c>
      <c r="I66" s="377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5">
        <f t="shared" si="2"/>
        <v>8.9895720963695247E-4</v>
      </c>
    </row>
    <row r="67" spans="2:31" x14ac:dyDescent="0.25">
      <c r="B67" s="375">
        <v>42484</v>
      </c>
      <c r="C67" s="397">
        <v>80</v>
      </c>
      <c r="D67" s="535">
        <v>48.573</v>
      </c>
      <c r="E67" s="377">
        <v>50.62</v>
      </c>
      <c r="F67" s="377">
        <f t="shared" si="20"/>
        <v>163.75999999999976</v>
      </c>
      <c r="G67" s="377">
        <f t="shared" si="21"/>
        <v>3885.84</v>
      </c>
      <c r="H67" s="378">
        <f t="shared" si="22"/>
        <v>4.214275420501095E-2</v>
      </c>
      <c r="I67" s="377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5" t="e">
        <f>AC67/#REF!-1</f>
        <v>#REF!</v>
      </c>
    </row>
    <row r="68" spans="2:31" x14ac:dyDescent="0.25">
      <c r="B68" s="375">
        <v>42487</v>
      </c>
      <c r="C68" s="397">
        <v>40</v>
      </c>
      <c r="D68" s="535">
        <v>46.177</v>
      </c>
      <c r="E68" s="377">
        <v>50.92</v>
      </c>
      <c r="F68" s="377">
        <f t="shared" si="20"/>
        <v>189.72000000000008</v>
      </c>
      <c r="G68" s="377">
        <f t="shared" si="21"/>
        <v>1847.08</v>
      </c>
      <c r="H68" s="378">
        <f t="shared" si="22"/>
        <v>0.10271347207484251</v>
      </c>
      <c r="I68" s="377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375">
        <v>42489</v>
      </c>
      <c r="C69" s="397">
        <v>80</v>
      </c>
      <c r="D69" s="535">
        <v>48.093499999999999</v>
      </c>
      <c r="E69" s="377">
        <v>49.98</v>
      </c>
      <c r="F69" s="377">
        <f t="shared" si="20"/>
        <v>150.91999999999985</v>
      </c>
      <c r="G69" s="377">
        <f t="shared" si="21"/>
        <v>3847.48</v>
      </c>
      <c r="H69" s="378">
        <f t="shared" si="22"/>
        <v>3.9225674987264349E-2</v>
      </c>
      <c r="I69" s="377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375">
        <v>42502</v>
      </c>
      <c r="C70" s="397">
        <v>80</v>
      </c>
      <c r="D70" s="535">
        <v>48.093499999999999</v>
      </c>
      <c r="E70" s="377">
        <v>49.2</v>
      </c>
      <c r="F70" s="377">
        <f t="shared" si="20"/>
        <v>88.520000000000323</v>
      </c>
      <c r="G70" s="377">
        <f t="shared" si="21"/>
        <v>3847.48</v>
      </c>
      <c r="H70" s="378">
        <f t="shared" si="22"/>
        <v>2.3007267094305967E-2</v>
      </c>
      <c r="I70" s="377"/>
    </row>
    <row r="71" spans="2:31" x14ac:dyDescent="0.25">
      <c r="B71" s="375">
        <v>42503</v>
      </c>
      <c r="C71" s="397">
        <v>110</v>
      </c>
      <c r="D71" s="535">
        <v>48.122500000000002</v>
      </c>
      <c r="E71" s="377">
        <v>48.93</v>
      </c>
      <c r="F71" s="377">
        <f t="shared" si="20"/>
        <v>88.824999999999719</v>
      </c>
      <c r="G71" s="377">
        <f t="shared" si="21"/>
        <v>5293.4750000000004</v>
      </c>
      <c r="H71" s="378">
        <f t="shared" si="22"/>
        <v>1.678009247233617E-2</v>
      </c>
      <c r="I71" s="377"/>
    </row>
    <row r="72" spans="2:31" x14ac:dyDescent="0.25">
      <c r="B72" s="375">
        <v>42506</v>
      </c>
      <c r="C72" s="397">
        <v>110</v>
      </c>
      <c r="D72" s="535">
        <v>48.122999999999998</v>
      </c>
      <c r="E72" s="377">
        <v>48.27</v>
      </c>
      <c r="F72" s="377">
        <f t="shared" si="20"/>
        <v>16.170000000000613</v>
      </c>
      <c r="G72" s="377">
        <f t="shared" si="21"/>
        <v>5293.53</v>
      </c>
      <c r="H72" s="378">
        <f t="shared" si="22"/>
        <v>3.0546724019700679E-3</v>
      </c>
      <c r="I72" s="377"/>
    </row>
    <row r="73" spans="2:31" x14ac:dyDescent="0.25">
      <c r="B73" s="375">
        <v>42507</v>
      </c>
      <c r="C73" s="397">
        <v>110</v>
      </c>
      <c r="D73" s="535">
        <v>48.122500000000002</v>
      </c>
      <c r="E73" s="377">
        <v>47.62</v>
      </c>
      <c r="F73" s="377">
        <f t="shared" si="20"/>
        <v>-55.275000000000531</v>
      </c>
      <c r="G73" s="377">
        <f t="shared" si="21"/>
        <v>5293.4750000000004</v>
      </c>
      <c r="H73" s="378">
        <f t="shared" si="22"/>
        <v>-1.0442100888357937E-2</v>
      </c>
      <c r="I73" s="377"/>
    </row>
    <row r="74" spans="2:31" x14ac:dyDescent="0.25">
      <c r="B74" s="375">
        <v>42514</v>
      </c>
      <c r="C74" s="397">
        <v>70</v>
      </c>
      <c r="D74" s="535">
        <v>47.456000000000003</v>
      </c>
      <c r="E74" s="377">
        <v>49.2</v>
      </c>
      <c r="F74" s="377">
        <f t="shared" si="20"/>
        <v>122.07999999999998</v>
      </c>
      <c r="G74" s="377">
        <f t="shared" si="21"/>
        <v>3321.92</v>
      </c>
      <c r="H74" s="378">
        <f t="shared" si="22"/>
        <v>3.6749831422791632E-2</v>
      </c>
      <c r="I74" s="377"/>
    </row>
    <row r="75" spans="2:31" x14ac:dyDescent="0.25">
      <c r="B75" s="375">
        <v>42522</v>
      </c>
      <c r="C75" s="397">
        <v>50</v>
      </c>
      <c r="D75" s="535">
        <v>46.150799999999997</v>
      </c>
      <c r="E75" s="377">
        <v>51</v>
      </c>
      <c r="F75" s="377">
        <f t="shared" si="20"/>
        <v>242.46000000000015</v>
      </c>
      <c r="G75" s="377">
        <f t="shared" si="21"/>
        <v>2307.54</v>
      </c>
      <c r="H75" s="378">
        <f t="shared" si="22"/>
        <v>0.10507293481369778</v>
      </c>
      <c r="I75" s="377"/>
    </row>
    <row r="76" spans="2:31" x14ac:dyDescent="0.25">
      <c r="B76" s="375">
        <v>42524</v>
      </c>
      <c r="C76" s="397">
        <v>80</v>
      </c>
      <c r="D76" s="535">
        <v>47.218000000000004</v>
      </c>
      <c r="E76" s="377">
        <v>50.19</v>
      </c>
      <c r="F76" s="377">
        <f t="shared" si="20"/>
        <v>237.75999999999954</v>
      </c>
      <c r="G76" s="377">
        <f t="shared" si="21"/>
        <v>3777.4400000000005</v>
      </c>
      <c r="H76" s="378">
        <f t="shared" si="22"/>
        <v>6.2942098352323145E-2</v>
      </c>
      <c r="I76" s="377"/>
    </row>
    <row r="77" spans="2:31" x14ac:dyDescent="0.25">
      <c r="B77" s="375">
        <v>42527</v>
      </c>
      <c r="C77" s="397">
        <v>50</v>
      </c>
      <c r="D77" s="535">
        <v>45.195399999999999</v>
      </c>
      <c r="E77" s="377">
        <v>50.49</v>
      </c>
      <c r="F77" s="377">
        <f t="shared" si="20"/>
        <v>264.73000000000013</v>
      </c>
      <c r="G77" s="377">
        <f t="shared" si="21"/>
        <v>2259.77</v>
      </c>
      <c r="H77" s="378">
        <f t="shared" si="22"/>
        <v>0.11714909039415522</v>
      </c>
      <c r="I77" s="377"/>
    </row>
    <row r="78" spans="2:31" x14ac:dyDescent="0.25">
      <c r="B78" s="375">
        <v>42531</v>
      </c>
      <c r="C78" s="397">
        <v>80</v>
      </c>
      <c r="D78" s="535">
        <v>46.438400000000001</v>
      </c>
      <c r="E78" s="377">
        <v>48.34</v>
      </c>
      <c r="F78" s="377">
        <f t="shared" si="20"/>
        <v>152.12800000000016</v>
      </c>
      <c r="G78" s="377">
        <f t="shared" si="21"/>
        <v>3715.0720000000001</v>
      </c>
      <c r="H78" s="378">
        <f t="shared" si="22"/>
        <v>4.0948869900771817E-2</v>
      </c>
      <c r="I78" s="377"/>
    </row>
    <row r="79" spans="2:31" x14ac:dyDescent="0.25">
      <c r="B79" s="375">
        <v>42535</v>
      </c>
      <c r="C79" s="397">
        <v>80</v>
      </c>
      <c r="D79" s="535">
        <v>46.438000000000002</v>
      </c>
      <c r="E79" s="377">
        <v>46.88</v>
      </c>
      <c r="F79" s="377">
        <f t="shared" si="20"/>
        <v>35.360000000000014</v>
      </c>
      <c r="G79" s="377">
        <f t="shared" si="21"/>
        <v>3715.04</v>
      </c>
      <c r="H79" s="378">
        <f t="shared" si="22"/>
        <v>9.5180671002196501E-3</v>
      </c>
      <c r="I79" s="377"/>
    </row>
    <row r="80" spans="2:31" x14ac:dyDescent="0.25">
      <c r="B80" s="375">
        <v>42549</v>
      </c>
      <c r="C80" s="376">
        <v>80</v>
      </c>
      <c r="D80" s="381">
        <v>46.438000000000002</v>
      </c>
      <c r="E80" s="377">
        <v>46.1</v>
      </c>
      <c r="F80" s="377">
        <f t="shared" ref="F80:F98" si="23">C80*(E80-D80)</f>
        <v>-27.040000000000077</v>
      </c>
      <c r="G80" s="377">
        <f t="shared" ref="G80:G98" si="24">D80*C80</f>
        <v>3715.04</v>
      </c>
      <c r="H80" s="378">
        <f t="shared" ref="H80:H98" si="25">(E80-D80)/D80</f>
        <v>-7.2785219001679866E-3</v>
      </c>
      <c r="I80" s="464">
        <v>45</v>
      </c>
    </row>
    <row r="81" spans="2:9" x14ac:dyDescent="0.25">
      <c r="B81" s="375">
        <v>42552</v>
      </c>
      <c r="C81" s="376">
        <v>80</v>
      </c>
      <c r="D81" s="381">
        <v>46.438400000000001</v>
      </c>
      <c r="E81" s="377">
        <v>47.03</v>
      </c>
      <c r="F81" s="377">
        <f t="shared" si="23"/>
        <v>47.327999999999975</v>
      </c>
      <c r="G81" s="377">
        <f t="shared" si="24"/>
        <v>3715.0720000000001</v>
      </c>
      <c r="H81" s="378">
        <f t="shared" si="25"/>
        <v>1.2739457001102529E-2</v>
      </c>
      <c r="I81" s="377"/>
    </row>
    <row r="82" spans="2:9" x14ac:dyDescent="0.25">
      <c r="B82" s="375">
        <v>42556</v>
      </c>
      <c r="C82" s="376">
        <v>80</v>
      </c>
      <c r="D82" s="381">
        <v>46.438400000000001</v>
      </c>
      <c r="E82" s="377">
        <v>46.21</v>
      </c>
      <c r="F82" s="377">
        <f t="shared" si="23"/>
        <v>-18.272000000000048</v>
      </c>
      <c r="G82" s="377">
        <f t="shared" si="24"/>
        <v>3715.0720000000001</v>
      </c>
      <c r="H82" s="378">
        <f t="shared" si="25"/>
        <v>-4.9183434399118096E-3</v>
      </c>
      <c r="I82" s="377"/>
    </row>
    <row r="83" spans="2:9" x14ac:dyDescent="0.25">
      <c r="B83" s="375">
        <v>42562</v>
      </c>
      <c r="C83" s="376">
        <v>80</v>
      </c>
      <c r="D83" s="381">
        <v>46.438400000000001</v>
      </c>
      <c r="E83" s="377">
        <v>48.08</v>
      </c>
      <c r="F83" s="377">
        <f t="shared" si="23"/>
        <v>131.32799999999975</v>
      </c>
      <c r="G83" s="377">
        <f t="shared" si="24"/>
        <v>3715.0720000000001</v>
      </c>
      <c r="H83" s="378">
        <f t="shared" si="25"/>
        <v>3.5350055126791555E-2</v>
      </c>
      <c r="I83" s="377"/>
    </row>
    <row r="84" spans="2:9" x14ac:dyDescent="0.25">
      <c r="B84" s="375">
        <v>42563</v>
      </c>
      <c r="C84" s="376">
        <v>80</v>
      </c>
      <c r="D84" s="381">
        <v>46.438400000000001</v>
      </c>
      <c r="E84" s="377">
        <v>48.35</v>
      </c>
      <c r="F84" s="377">
        <f t="shared" si="23"/>
        <v>152.928</v>
      </c>
      <c r="G84" s="377">
        <f t="shared" si="24"/>
        <v>3715.0720000000001</v>
      </c>
      <c r="H84" s="378">
        <f t="shared" si="25"/>
        <v>4.1164208930540243E-2</v>
      </c>
      <c r="I84" s="377"/>
    </row>
    <row r="85" spans="2:9" x14ac:dyDescent="0.25">
      <c r="B85" s="375">
        <v>42566</v>
      </c>
      <c r="C85" s="397">
        <v>110</v>
      </c>
      <c r="D85" s="535">
        <v>46.749699999999997</v>
      </c>
      <c r="E85" s="377">
        <v>47.71</v>
      </c>
      <c r="F85" s="377">
        <f t="shared" si="23"/>
        <v>105.63300000000041</v>
      </c>
      <c r="G85" s="377">
        <f t="shared" si="24"/>
        <v>5142.4669999999996</v>
      </c>
      <c r="H85" s="378">
        <f t="shared" si="25"/>
        <v>2.0541308286470369E-2</v>
      </c>
      <c r="I85" s="377" t="s">
        <v>238</v>
      </c>
    </row>
    <row r="86" spans="2:9" x14ac:dyDescent="0.25">
      <c r="B86" s="375">
        <v>42569</v>
      </c>
      <c r="C86" s="376">
        <v>110</v>
      </c>
      <c r="D86" s="381">
        <v>46.749699999999997</v>
      </c>
      <c r="E86" s="377">
        <v>48.28</v>
      </c>
      <c r="F86" s="377">
        <f t="shared" si="23"/>
        <v>168.33300000000042</v>
      </c>
      <c r="G86" s="377">
        <f t="shared" si="24"/>
        <v>5142.4669999999996</v>
      </c>
      <c r="H86" s="378">
        <f t="shared" si="25"/>
        <v>3.2733899896683918E-2</v>
      </c>
      <c r="I86" s="377"/>
    </row>
    <row r="87" spans="2:9" x14ac:dyDescent="0.25">
      <c r="B87" s="375">
        <v>42570</v>
      </c>
      <c r="C87" s="376">
        <v>110</v>
      </c>
      <c r="D87" s="381">
        <v>46.749699999999997</v>
      </c>
      <c r="E87" s="377">
        <v>48.37</v>
      </c>
      <c r="F87" s="377">
        <f t="shared" si="23"/>
        <v>178.23300000000003</v>
      </c>
      <c r="G87" s="377">
        <f t="shared" si="24"/>
        <v>5142.4669999999996</v>
      </c>
      <c r="H87" s="378">
        <f t="shared" si="25"/>
        <v>3.4659045940401763E-2</v>
      </c>
      <c r="I87" s="377"/>
    </row>
    <row r="88" spans="2:9" x14ac:dyDescent="0.25">
      <c r="B88" s="375">
        <v>42571</v>
      </c>
      <c r="C88" s="376">
        <v>110</v>
      </c>
      <c r="D88" s="381">
        <v>46.749699999999997</v>
      </c>
      <c r="E88" s="377">
        <v>48.61</v>
      </c>
      <c r="F88" s="377">
        <f t="shared" si="23"/>
        <v>204.63300000000027</v>
      </c>
      <c r="G88" s="377">
        <f t="shared" si="24"/>
        <v>5142.4669999999996</v>
      </c>
      <c r="H88" s="378">
        <f t="shared" si="25"/>
        <v>3.9792768723649612E-2</v>
      </c>
      <c r="I88" s="377"/>
    </row>
    <row r="89" spans="2:9" x14ac:dyDescent="0.25">
      <c r="B89" s="375">
        <v>42572</v>
      </c>
      <c r="C89" s="376">
        <v>110</v>
      </c>
      <c r="D89" s="381">
        <v>46.749699999999997</v>
      </c>
      <c r="E89" s="377">
        <v>48.3</v>
      </c>
      <c r="F89" s="377">
        <f t="shared" si="23"/>
        <v>170.53300000000002</v>
      </c>
      <c r="G89" s="377">
        <f t="shared" si="24"/>
        <v>5142.4669999999996</v>
      </c>
      <c r="H89" s="378">
        <f t="shared" si="25"/>
        <v>3.3161710128621145E-2</v>
      </c>
      <c r="I89" s="377"/>
    </row>
    <row r="90" spans="2:9" x14ac:dyDescent="0.25">
      <c r="B90" s="375">
        <v>42576</v>
      </c>
      <c r="C90" s="376">
        <v>110</v>
      </c>
      <c r="D90" s="381">
        <v>46.749699999999997</v>
      </c>
      <c r="E90" s="377">
        <v>48.12</v>
      </c>
      <c r="F90" s="377">
        <f t="shared" si="23"/>
        <v>150.73300000000003</v>
      </c>
      <c r="G90" s="377">
        <f t="shared" si="24"/>
        <v>5142.4669999999996</v>
      </c>
      <c r="H90" s="378">
        <f t="shared" si="25"/>
        <v>2.9311418041185301E-2</v>
      </c>
      <c r="I90" s="377"/>
    </row>
    <row r="91" spans="2:9" x14ac:dyDescent="0.25">
      <c r="B91" s="375">
        <v>42585</v>
      </c>
      <c r="C91" s="376">
        <v>110</v>
      </c>
      <c r="D91" s="381">
        <v>46.749699999999997</v>
      </c>
      <c r="E91" s="377">
        <v>47.7</v>
      </c>
      <c r="F91" s="377">
        <f t="shared" si="23"/>
        <v>104.53300000000063</v>
      </c>
      <c r="G91" s="377">
        <f t="shared" si="24"/>
        <v>5142.4669999999996</v>
      </c>
      <c r="H91" s="378">
        <f t="shared" si="25"/>
        <v>2.0327403170501752E-2</v>
      </c>
      <c r="I91" s="377"/>
    </row>
    <row r="92" spans="2:9" x14ac:dyDescent="0.25">
      <c r="B92" s="375">
        <v>42587</v>
      </c>
      <c r="C92" s="376">
        <v>80</v>
      </c>
      <c r="D92" s="381">
        <v>46.025700000000001</v>
      </c>
      <c r="E92" s="377">
        <v>48.43</v>
      </c>
      <c r="F92" s="377">
        <f t="shared" si="23"/>
        <v>192.34399999999994</v>
      </c>
      <c r="G92" s="377">
        <f t="shared" si="24"/>
        <v>3682.056</v>
      </c>
      <c r="H92" s="378">
        <f t="shared" si="25"/>
        <v>5.2238206045752682E-2</v>
      </c>
      <c r="I92" s="377"/>
    </row>
    <row r="93" spans="2:9" x14ac:dyDescent="0.25">
      <c r="B93" s="375">
        <v>42600</v>
      </c>
      <c r="C93" s="376">
        <v>80</v>
      </c>
      <c r="D93" s="381">
        <v>46.026000000000003</v>
      </c>
      <c r="E93" s="377">
        <v>48.53</v>
      </c>
      <c r="F93" s="377">
        <f t="shared" si="23"/>
        <v>200.31999999999982</v>
      </c>
      <c r="G93" s="377">
        <f t="shared" si="24"/>
        <v>3682.0800000000004</v>
      </c>
      <c r="H93" s="378">
        <f t="shared" si="25"/>
        <v>5.4404032503367609E-2</v>
      </c>
      <c r="I93" s="377"/>
    </row>
    <row r="94" spans="2:9" x14ac:dyDescent="0.25">
      <c r="B94" s="375">
        <v>42601</v>
      </c>
      <c r="C94" s="376">
        <v>80</v>
      </c>
      <c r="D94" s="381">
        <v>46.026000000000003</v>
      </c>
      <c r="E94" s="377">
        <v>48.65</v>
      </c>
      <c r="F94" s="377">
        <f t="shared" si="23"/>
        <v>209.91999999999962</v>
      </c>
      <c r="G94" s="377">
        <f t="shared" si="24"/>
        <v>3682.0800000000004</v>
      </c>
      <c r="H94" s="378">
        <f t="shared" si="25"/>
        <v>5.7011254508321278E-2</v>
      </c>
      <c r="I94" s="377"/>
    </row>
    <row r="95" spans="2:9" x14ac:dyDescent="0.25">
      <c r="B95" s="375">
        <v>42605</v>
      </c>
      <c r="C95" s="376">
        <v>80</v>
      </c>
      <c r="D95" s="381">
        <v>46.026000000000003</v>
      </c>
      <c r="E95" s="377">
        <v>48.41</v>
      </c>
      <c r="F95" s="377">
        <f t="shared" si="23"/>
        <v>190.71999999999946</v>
      </c>
      <c r="G95" s="377">
        <f t="shared" si="24"/>
        <v>3682.0800000000004</v>
      </c>
      <c r="H95" s="378">
        <f t="shared" si="25"/>
        <v>5.1796810498413788E-2</v>
      </c>
      <c r="I95" s="377"/>
    </row>
    <row r="96" spans="2:9" x14ac:dyDescent="0.25">
      <c r="B96" s="375">
        <v>42606</v>
      </c>
      <c r="C96" s="376">
        <v>80</v>
      </c>
      <c r="D96" s="381">
        <v>46.026000000000003</v>
      </c>
      <c r="E96" s="377">
        <v>48.63</v>
      </c>
      <c r="F96" s="377">
        <f t="shared" si="23"/>
        <v>208.31999999999994</v>
      </c>
      <c r="G96" s="377">
        <f t="shared" si="24"/>
        <v>3682.0800000000004</v>
      </c>
      <c r="H96" s="378">
        <f t="shared" si="25"/>
        <v>5.6576717507495738E-2</v>
      </c>
      <c r="I96" s="377"/>
    </row>
    <row r="97" spans="2:9" x14ac:dyDescent="0.25">
      <c r="B97" s="375">
        <v>42607</v>
      </c>
      <c r="C97" s="376">
        <v>80</v>
      </c>
      <c r="D97" s="381">
        <v>46.026000000000003</v>
      </c>
      <c r="E97" s="377">
        <v>48.38</v>
      </c>
      <c r="F97" s="377">
        <f t="shared" si="23"/>
        <v>188.31999999999994</v>
      </c>
      <c r="G97" s="377">
        <f t="shared" si="24"/>
        <v>3682.0800000000004</v>
      </c>
      <c r="H97" s="378">
        <f t="shared" si="25"/>
        <v>5.1145004997175489E-2</v>
      </c>
      <c r="I97" s="377"/>
    </row>
    <row r="98" spans="2:9" x14ac:dyDescent="0.25">
      <c r="B98" s="375">
        <v>42608</v>
      </c>
      <c r="C98" s="376">
        <v>80</v>
      </c>
      <c r="D98" s="381">
        <v>46.026000000000003</v>
      </c>
      <c r="E98" s="377">
        <v>48.51</v>
      </c>
      <c r="F98" s="377">
        <f t="shared" si="23"/>
        <v>198.71999999999957</v>
      </c>
      <c r="G98" s="377">
        <f t="shared" si="24"/>
        <v>3682.0800000000004</v>
      </c>
      <c r="H98" s="378">
        <f t="shared" si="25"/>
        <v>5.3969495502541924E-2</v>
      </c>
      <c r="I98" s="377"/>
    </row>
    <row r="99" spans="2:9" x14ac:dyDescent="0.25">
      <c r="B99" s="375">
        <v>42611</v>
      </c>
      <c r="C99" s="376">
        <v>0</v>
      </c>
      <c r="D99" s="381"/>
      <c r="E99" s="377"/>
      <c r="F99" s="377">
        <v>294.61</v>
      </c>
      <c r="G99" s="377"/>
      <c r="H99" s="378"/>
      <c r="I99" s="377"/>
    </row>
    <row r="100" spans="2:9" x14ac:dyDescent="0.25">
      <c r="B100" s="190"/>
      <c r="C100" s="10"/>
      <c r="D100" s="197"/>
      <c r="E100" s="40"/>
      <c r="F100" s="40"/>
      <c r="G100" s="40"/>
      <c r="H100" s="228"/>
      <c r="I100" s="40"/>
    </row>
    <row r="101" spans="2:9" x14ac:dyDescent="0.25">
      <c r="B101" s="190"/>
      <c r="C101" s="10"/>
      <c r="D101" s="197"/>
      <c r="E101" s="40"/>
      <c r="F101" s="40"/>
      <c r="G101" s="40"/>
      <c r="H101" s="228"/>
      <c r="I101" s="40"/>
    </row>
    <row r="102" spans="2:9" x14ac:dyDescent="0.25">
      <c r="B102" s="188" t="s">
        <v>113</v>
      </c>
      <c r="C102" s="188" t="s">
        <v>146</v>
      </c>
      <c r="D102" s="189" t="s">
        <v>145</v>
      </c>
      <c r="E102" s="191" t="s">
        <v>147</v>
      </c>
      <c r="F102" s="191" t="s">
        <v>65</v>
      </c>
      <c r="G102" s="226" t="s">
        <v>151</v>
      </c>
      <c r="H102" s="226" t="s">
        <v>88</v>
      </c>
      <c r="I102" s="226" t="s">
        <v>154</v>
      </c>
    </row>
    <row r="103" spans="2:9" x14ac:dyDescent="0.25">
      <c r="B103" s="263">
        <v>42627</v>
      </c>
      <c r="C103" s="258">
        <v>40</v>
      </c>
      <c r="D103" s="526">
        <v>46.47</v>
      </c>
      <c r="E103" s="259">
        <v>46.52</v>
      </c>
      <c r="F103" s="259">
        <f t="shared" ref="F103:F116" si="26">C103*(E103-D103)</f>
        <v>2.0000000000001705</v>
      </c>
      <c r="G103" s="259">
        <f t="shared" ref="G103:G116" si="27">D103*C103</f>
        <v>1858.8</v>
      </c>
      <c r="H103" s="273">
        <f t="shared" ref="H103:H116" si="28">(E103-D103)/D103</f>
        <v>1.0759629868733434E-3</v>
      </c>
      <c r="I103" s="259"/>
    </row>
    <row r="104" spans="2:9" x14ac:dyDescent="0.25">
      <c r="B104" s="263">
        <v>42629</v>
      </c>
      <c r="C104" s="258">
        <v>40</v>
      </c>
      <c r="D104" s="526">
        <v>46.47</v>
      </c>
      <c r="E104" s="259">
        <v>45.43</v>
      </c>
      <c r="F104" s="259">
        <f t="shared" si="26"/>
        <v>-41.599999999999966</v>
      </c>
      <c r="G104" s="259">
        <f t="shared" si="27"/>
        <v>1858.8</v>
      </c>
      <c r="H104" s="273">
        <f t="shared" si="28"/>
        <v>-2.2380030126963615E-2</v>
      </c>
      <c r="I104" s="259"/>
    </row>
    <row r="105" spans="2:9" x14ac:dyDescent="0.25">
      <c r="B105" s="263">
        <v>42632</v>
      </c>
      <c r="C105" s="258">
        <v>40</v>
      </c>
      <c r="D105" s="526">
        <v>46.47</v>
      </c>
      <c r="E105" s="259">
        <v>46.01</v>
      </c>
      <c r="F105" s="259">
        <f t="shared" si="26"/>
        <v>-18.400000000000034</v>
      </c>
      <c r="G105" s="259">
        <f t="shared" si="27"/>
        <v>1858.8</v>
      </c>
      <c r="H105" s="273">
        <f t="shared" si="28"/>
        <v>-9.8988594792339332E-3</v>
      </c>
      <c r="I105" s="259"/>
    </row>
    <row r="106" spans="2:9" x14ac:dyDescent="0.25">
      <c r="B106" s="263">
        <v>42633</v>
      </c>
      <c r="C106" s="258">
        <v>40</v>
      </c>
      <c r="D106" s="526">
        <v>46.47</v>
      </c>
      <c r="E106" s="259">
        <v>46.5</v>
      </c>
      <c r="F106" s="259">
        <f t="shared" si="26"/>
        <v>1.2000000000000455</v>
      </c>
      <c r="G106" s="259">
        <f t="shared" si="27"/>
        <v>1858.8</v>
      </c>
      <c r="H106" s="273">
        <f t="shared" si="28"/>
        <v>6.455777921239754E-4</v>
      </c>
      <c r="I106" s="259"/>
    </row>
    <row r="107" spans="2:9" x14ac:dyDescent="0.25">
      <c r="B107" s="263">
        <v>42634</v>
      </c>
      <c r="C107" s="258">
        <v>40</v>
      </c>
      <c r="D107" s="526">
        <v>46.47</v>
      </c>
      <c r="E107" s="259">
        <v>45.83</v>
      </c>
      <c r="F107" s="259">
        <f t="shared" si="26"/>
        <v>-25.600000000000023</v>
      </c>
      <c r="G107" s="259">
        <f t="shared" si="27"/>
        <v>1858.8</v>
      </c>
      <c r="H107" s="273">
        <f t="shared" si="28"/>
        <v>-1.3772326231977633E-2</v>
      </c>
      <c r="I107" s="259"/>
    </row>
    <row r="108" spans="2:9" x14ac:dyDescent="0.25">
      <c r="B108" s="263">
        <v>42639</v>
      </c>
      <c r="C108" s="258">
        <v>80</v>
      </c>
      <c r="D108" s="526">
        <v>45.634999999999998</v>
      </c>
      <c r="E108" s="259">
        <v>44.88</v>
      </c>
      <c r="F108" s="259">
        <f t="shared" si="26"/>
        <v>-60.399999999999636</v>
      </c>
      <c r="G108" s="259">
        <f t="shared" si="27"/>
        <v>3650.7999999999997</v>
      </c>
      <c r="H108" s="273">
        <f t="shared" si="28"/>
        <v>-1.654431905335807E-2</v>
      </c>
      <c r="I108" s="259"/>
    </row>
    <row r="109" spans="2:9" x14ac:dyDescent="0.25">
      <c r="B109" s="263">
        <v>42646</v>
      </c>
      <c r="C109" s="258">
        <v>80</v>
      </c>
      <c r="D109" s="526">
        <v>45.634999999999998</v>
      </c>
      <c r="E109" s="259">
        <v>43.83</v>
      </c>
      <c r="F109" s="259">
        <f t="shared" si="26"/>
        <v>-144.39999999999998</v>
      </c>
      <c r="G109" s="259">
        <f t="shared" si="27"/>
        <v>3650.7999999999997</v>
      </c>
      <c r="H109" s="273">
        <f t="shared" si="28"/>
        <v>-3.9552974690478797E-2</v>
      </c>
      <c r="I109" s="259"/>
    </row>
    <row r="110" spans="2:9" x14ac:dyDescent="0.25">
      <c r="B110" s="263">
        <v>42648</v>
      </c>
      <c r="C110" s="258">
        <v>80</v>
      </c>
      <c r="D110" s="526">
        <v>45.634999999999998</v>
      </c>
      <c r="E110" s="259">
        <v>44.99</v>
      </c>
      <c r="F110" s="259">
        <f t="shared" si="26"/>
        <v>-51.599999999999682</v>
      </c>
      <c r="G110" s="259">
        <f t="shared" si="27"/>
        <v>3650.7999999999997</v>
      </c>
      <c r="H110" s="273">
        <f t="shared" si="28"/>
        <v>-1.4133888462802587E-2</v>
      </c>
      <c r="I110" s="259"/>
    </row>
    <row r="111" spans="2:9" x14ac:dyDescent="0.25">
      <c r="B111" s="263">
        <v>42649</v>
      </c>
      <c r="C111" s="258">
        <v>80</v>
      </c>
      <c r="D111" s="526">
        <v>45.634999999999998</v>
      </c>
      <c r="E111" s="259">
        <v>45.18</v>
      </c>
      <c r="F111" s="259">
        <f t="shared" si="26"/>
        <v>-36.399999999999864</v>
      </c>
      <c r="G111" s="259">
        <f t="shared" si="27"/>
        <v>3650.7999999999997</v>
      </c>
      <c r="H111" s="273">
        <f t="shared" si="28"/>
        <v>-9.9704174427522364E-3</v>
      </c>
      <c r="I111" s="259"/>
    </row>
    <row r="112" spans="2:9" x14ac:dyDescent="0.25">
      <c r="B112" s="263">
        <v>42650</v>
      </c>
      <c r="C112" s="258">
        <v>80</v>
      </c>
      <c r="D112" s="526">
        <v>45.634999999999998</v>
      </c>
      <c r="E112" s="259">
        <v>45.33</v>
      </c>
      <c r="F112" s="259">
        <f t="shared" si="26"/>
        <v>-24.399999999999977</v>
      </c>
      <c r="G112" s="259">
        <f t="shared" si="27"/>
        <v>3650.7999999999997</v>
      </c>
      <c r="H112" s="273">
        <f t="shared" si="28"/>
        <v>-6.6834666374493206E-3</v>
      </c>
      <c r="I112" s="259"/>
    </row>
    <row r="113" spans="1:13" x14ac:dyDescent="0.25">
      <c r="B113" s="263">
        <v>42670</v>
      </c>
      <c r="C113" s="258">
        <v>40</v>
      </c>
      <c r="D113" s="526">
        <v>44.790999999999997</v>
      </c>
      <c r="E113" s="259">
        <v>46.41</v>
      </c>
      <c r="F113" s="259">
        <f t="shared" si="26"/>
        <v>64.759999999999991</v>
      </c>
      <c r="G113" s="259">
        <f t="shared" si="27"/>
        <v>1791.6399999999999</v>
      </c>
      <c r="H113" s="273">
        <f t="shared" si="28"/>
        <v>3.6145654260900627E-2</v>
      </c>
      <c r="I113" s="259"/>
    </row>
    <row r="114" spans="1:13" x14ac:dyDescent="0.25">
      <c r="B114" s="263">
        <v>42678</v>
      </c>
      <c r="C114" s="258">
        <v>80</v>
      </c>
      <c r="D114" s="526">
        <v>44.8705</v>
      </c>
      <c r="E114" s="259">
        <v>44.6</v>
      </c>
      <c r="F114" s="259">
        <f t="shared" si="26"/>
        <v>-21.639999999999873</v>
      </c>
      <c r="G114" s="259">
        <f t="shared" si="27"/>
        <v>3589.64</v>
      </c>
      <c r="H114" s="273">
        <f t="shared" si="28"/>
        <v>-6.0284596784078272E-3</v>
      </c>
      <c r="I114" s="259"/>
    </row>
    <row r="115" spans="1:13" x14ac:dyDescent="0.25">
      <c r="B115" s="263">
        <v>42701</v>
      </c>
      <c r="C115" s="258">
        <v>40</v>
      </c>
      <c r="D115" s="526">
        <v>43.161999999999999</v>
      </c>
      <c r="E115" s="259">
        <v>52.62</v>
      </c>
      <c r="F115" s="259">
        <f t="shared" si="26"/>
        <v>378.31999999999994</v>
      </c>
      <c r="G115" s="259">
        <f t="shared" si="27"/>
        <v>1726.48</v>
      </c>
      <c r="H115" s="273">
        <f t="shared" si="28"/>
        <v>0.21912793661090771</v>
      </c>
      <c r="I115" s="259"/>
    </row>
    <row r="116" spans="1:13" x14ac:dyDescent="0.25">
      <c r="B116" s="263">
        <v>42706</v>
      </c>
      <c r="C116" s="258">
        <v>40</v>
      </c>
      <c r="D116" s="526">
        <v>42.781999999999996</v>
      </c>
      <c r="E116" s="259">
        <v>53.58</v>
      </c>
      <c r="F116" s="259">
        <f t="shared" si="26"/>
        <v>431.92000000000007</v>
      </c>
      <c r="G116" s="259">
        <f t="shared" si="27"/>
        <v>1711.2799999999997</v>
      </c>
      <c r="H116" s="273">
        <f t="shared" si="28"/>
        <v>0.252395867420878</v>
      </c>
      <c r="I116" s="259"/>
    </row>
    <row r="117" spans="1:13" x14ac:dyDescent="0.25">
      <c r="B117" s="263">
        <v>42710</v>
      </c>
      <c r="C117" s="258">
        <v>0</v>
      </c>
      <c r="D117" s="526"/>
      <c r="E117" s="259"/>
      <c r="F117" s="259">
        <v>491.87</v>
      </c>
      <c r="G117" s="259"/>
      <c r="H117" s="273"/>
      <c r="I117" s="259"/>
    </row>
    <row r="118" spans="1:13" x14ac:dyDescent="0.25">
      <c r="B118" s="190"/>
      <c r="C118" s="10"/>
      <c r="D118" s="197"/>
      <c r="E118" s="40"/>
      <c r="F118" s="40"/>
      <c r="G118" s="40"/>
      <c r="H118" s="228"/>
      <c r="I118" s="40"/>
    </row>
    <row r="119" spans="1:13" x14ac:dyDescent="0.25">
      <c r="B119" s="190"/>
      <c r="C119" s="10"/>
      <c r="D119" s="197"/>
      <c r="E119" s="40"/>
      <c r="F119" s="40"/>
      <c r="G119" s="40"/>
      <c r="H119" s="228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0" t="s">
        <v>1</v>
      </c>
      <c r="B123" s="260" t="s">
        <v>2</v>
      </c>
      <c r="C123" s="260" t="s">
        <v>4</v>
      </c>
      <c r="D123" s="261" t="s">
        <v>5</v>
      </c>
      <c r="E123" s="261" t="s">
        <v>90</v>
      </c>
      <c r="F123" s="261" t="s">
        <v>60</v>
      </c>
      <c r="G123" s="260" t="s">
        <v>3</v>
      </c>
      <c r="H123" s="260" t="s">
        <v>6</v>
      </c>
      <c r="I123" s="261" t="s">
        <v>7</v>
      </c>
      <c r="J123" s="261" t="s">
        <v>89</v>
      </c>
      <c r="K123" s="261" t="s">
        <v>61</v>
      </c>
      <c r="L123" s="260" t="s">
        <v>77</v>
      </c>
      <c r="M123" s="260" t="s">
        <v>38</v>
      </c>
    </row>
    <row r="124" spans="1:13" x14ac:dyDescent="0.25">
      <c r="A124" s="262" t="s">
        <v>173</v>
      </c>
      <c r="B124" s="263">
        <v>42376</v>
      </c>
      <c r="C124" s="258">
        <v>40</v>
      </c>
      <c r="D124" s="259">
        <v>50.5</v>
      </c>
      <c r="E124" s="259">
        <v>0</v>
      </c>
      <c r="F124" s="259">
        <f t="shared" ref="F124:F132" si="29">C124*D124+E124</f>
        <v>2020</v>
      </c>
      <c r="G124" s="258"/>
      <c r="H124" s="258"/>
      <c r="I124" s="259"/>
      <c r="J124" s="259"/>
      <c r="K124" s="259"/>
      <c r="L124" s="263">
        <v>42430</v>
      </c>
      <c r="M124" s="259">
        <v>15</v>
      </c>
    </row>
    <row r="125" spans="1:13" x14ac:dyDescent="0.25">
      <c r="A125" s="265" t="s">
        <v>71</v>
      </c>
      <c r="B125" s="263">
        <v>42466</v>
      </c>
      <c r="C125" s="258">
        <v>40</v>
      </c>
      <c r="D125" s="259">
        <v>47.38</v>
      </c>
      <c r="E125" s="259">
        <v>0</v>
      </c>
      <c r="F125" s="259">
        <f t="shared" si="29"/>
        <v>1895.2</v>
      </c>
      <c r="G125" s="263">
        <v>42473</v>
      </c>
      <c r="H125" s="264">
        <v>40</v>
      </c>
      <c r="I125" s="259">
        <v>48.91</v>
      </c>
      <c r="J125" s="259">
        <v>0.04</v>
      </c>
      <c r="K125" s="259">
        <f t="shared" ref="K125:K131" si="30">I125*H125-J125</f>
        <v>1956.36</v>
      </c>
      <c r="L125" s="263">
        <v>42522</v>
      </c>
      <c r="M125" s="259">
        <v>30.4</v>
      </c>
    </row>
    <row r="126" spans="1:13" x14ac:dyDescent="0.25">
      <c r="A126" s="258"/>
      <c r="B126" s="263">
        <v>42474</v>
      </c>
      <c r="C126" s="258">
        <v>40</v>
      </c>
      <c r="D126" s="259">
        <v>48.55</v>
      </c>
      <c r="E126" s="259">
        <v>0</v>
      </c>
      <c r="F126" s="259">
        <f t="shared" si="29"/>
        <v>1942</v>
      </c>
      <c r="G126" s="263">
        <v>42487</v>
      </c>
      <c r="H126" s="264">
        <v>40</v>
      </c>
      <c r="I126" s="259">
        <v>50.97</v>
      </c>
      <c r="J126" s="259">
        <v>0.04</v>
      </c>
      <c r="K126" s="259">
        <f t="shared" si="30"/>
        <v>2038.76</v>
      </c>
      <c r="L126" s="263">
        <v>42614</v>
      </c>
      <c r="M126" s="259">
        <v>41.8</v>
      </c>
    </row>
    <row r="127" spans="1:13" x14ac:dyDescent="0.25">
      <c r="A127" s="258"/>
      <c r="B127" s="263">
        <v>42489</v>
      </c>
      <c r="C127" s="258">
        <v>40</v>
      </c>
      <c r="D127" s="259">
        <v>50.01</v>
      </c>
      <c r="E127" s="259">
        <v>0</v>
      </c>
      <c r="F127" s="259">
        <f t="shared" si="29"/>
        <v>2000.3999999999999</v>
      </c>
      <c r="G127" s="263">
        <v>42514</v>
      </c>
      <c r="H127" s="406">
        <v>40</v>
      </c>
      <c r="I127" s="365">
        <v>49.29</v>
      </c>
      <c r="J127" s="365">
        <v>0.04</v>
      </c>
      <c r="K127" s="365">
        <f t="shared" si="30"/>
        <v>1971.56</v>
      </c>
      <c r="L127" s="258"/>
      <c r="M127" s="258"/>
    </row>
    <row r="128" spans="1:13" x14ac:dyDescent="0.25">
      <c r="A128" s="258"/>
      <c r="B128" s="263">
        <v>42503</v>
      </c>
      <c r="C128" s="258">
        <v>10</v>
      </c>
      <c r="D128" s="259">
        <v>48.2</v>
      </c>
      <c r="E128" s="259">
        <v>0</v>
      </c>
      <c r="F128" s="259">
        <f t="shared" si="29"/>
        <v>482</v>
      </c>
      <c r="G128" s="263">
        <v>42517</v>
      </c>
      <c r="H128" s="264">
        <v>20</v>
      </c>
      <c r="I128" s="259">
        <v>50.72</v>
      </c>
      <c r="J128" s="259">
        <v>0.02</v>
      </c>
      <c r="K128" s="365">
        <f t="shared" si="30"/>
        <v>1014.38</v>
      </c>
      <c r="L128" s="258"/>
      <c r="M128" s="258"/>
    </row>
    <row r="129" spans="1:13" x14ac:dyDescent="0.25">
      <c r="A129" s="258"/>
      <c r="B129" s="263">
        <v>42503</v>
      </c>
      <c r="C129" s="258">
        <v>20</v>
      </c>
      <c r="D129" s="259">
        <v>48.2</v>
      </c>
      <c r="E129" s="259">
        <v>0</v>
      </c>
      <c r="F129" s="259">
        <f t="shared" si="29"/>
        <v>964</v>
      </c>
      <c r="G129" s="263">
        <v>42527</v>
      </c>
      <c r="H129" s="264">
        <v>30</v>
      </c>
      <c r="I129" s="259">
        <v>50.59</v>
      </c>
      <c r="J129" s="259">
        <v>0.03</v>
      </c>
      <c r="K129" s="365">
        <f t="shared" si="30"/>
        <v>1517.67</v>
      </c>
      <c r="L129" s="258"/>
      <c r="M129" s="258"/>
    </row>
    <row r="130" spans="1:13" x14ac:dyDescent="0.25">
      <c r="A130" s="258"/>
      <c r="B130" s="263">
        <v>42524</v>
      </c>
      <c r="C130" s="258">
        <v>30</v>
      </c>
      <c r="D130" s="259">
        <v>50.01</v>
      </c>
      <c r="E130" s="259">
        <v>0</v>
      </c>
      <c r="F130" s="259">
        <f t="shared" si="29"/>
        <v>1500.3</v>
      </c>
      <c r="G130" s="263">
        <v>42587</v>
      </c>
      <c r="H130" s="264">
        <v>30</v>
      </c>
      <c r="I130" s="259">
        <v>48.68</v>
      </c>
      <c r="J130" s="259">
        <v>0.03</v>
      </c>
      <c r="K130" s="259">
        <f t="shared" si="30"/>
        <v>1460.3700000000001</v>
      </c>
      <c r="L130" s="258"/>
      <c r="M130" s="258"/>
    </row>
    <row r="131" spans="1:13" x14ac:dyDescent="0.25">
      <c r="A131" s="258"/>
      <c r="B131" s="263">
        <v>42531</v>
      </c>
      <c r="C131" s="258">
        <v>30</v>
      </c>
      <c r="D131" s="259">
        <v>48.51</v>
      </c>
      <c r="E131" s="259">
        <v>0</v>
      </c>
      <c r="F131" s="259">
        <f t="shared" si="29"/>
        <v>1455.3</v>
      </c>
      <c r="G131" s="263">
        <v>42611</v>
      </c>
      <c r="H131" s="264">
        <v>80</v>
      </c>
      <c r="I131" s="259">
        <v>49.71</v>
      </c>
      <c r="J131" s="259">
        <v>0.09</v>
      </c>
      <c r="K131" s="259">
        <f t="shared" si="30"/>
        <v>3976.71</v>
      </c>
      <c r="L131" s="258"/>
      <c r="M131" s="258"/>
    </row>
    <row r="132" spans="1:13" x14ac:dyDescent="0.25">
      <c r="A132" s="258"/>
      <c r="B132" s="263">
        <v>42566</v>
      </c>
      <c r="C132" s="258">
        <v>30</v>
      </c>
      <c r="D132" s="259">
        <v>47.58</v>
      </c>
      <c r="E132" s="259">
        <v>0</v>
      </c>
      <c r="F132" s="259">
        <f t="shared" si="29"/>
        <v>1427.3999999999999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42627</v>
      </c>
      <c r="C133" s="258">
        <v>40</v>
      </c>
      <c r="D133" s="259">
        <v>46.47</v>
      </c>
      <c r="E133" s="259">
        <v>0</v>
      </c>
      <c r="F133" s="259">
        <f>D133*C133+E133</f>
        <v>1858.8</v>
      </c>
      <c r="G133" s="263">
        <v>42670</v>
      </c>
      <c r="H133" s="264">
        <v>40</v>
      </c>
      <c r="I133" s="259">
        <v>46.48</v>
      </c>
      <c r="J133" s="259">
        <v>0.04</v>
      </c>
      <c r="K133" s="259">
        <f>I133*H133-J133</f>
        <v>1859.1599999999999</v>
      </c>
      <c r="L133" s="263">
        <v>42705</v>
      </c>
      <c r="M133" s="259">
        <v>15.2</v>
      </c>
    </row>
    <row r="134" spans="1:13" x14ac:dyDescent="0.25">
      <c r="A134" s="258"/>
      <c r="B134" s="263">
        <v>42639</v>
      </c>
      <c r="C134" s="258">
        <v>40</v>
      </c>
      <c r="D134" s="259">
        <v>44.8</v>
      </c>
      <c r="E134" s="259">
        <v>0</v>
      </c>
      <c r="F134" s="259">
        <f>D134*C134+E134</f>
        <v>1792</v>
      </c>
      <c r="G134" s="263">
        <v>42683</v>
      </c>
      <c r="H134" s="264">
        <v>40</v>
      </c>
      <c r="I134" s="259">
        <v>46.58</v>
      </c>
      <c r="J134" s="259">
        <v>0.04</v>
      </c>
      <c r="K134" s="259">
        <f>I134*H134-J134</f>
        <v>1863.1599999999999</v>
      </c>
      <c r="L134" s="263"/>
      <c r="M134" s="259"/>
    </row>
    <row r="135" spans="1:13" x14ac:dyDescent="0.25">
      <c r="A135" s="258"/>
      <c r="B135" s="263">
        <v>42678</v>
      </c>
      <c r="C135" s="258">
        <v>40</v>
      </c>
      <c r="D135" s="259">
        <v>44.95</v>
      </c>
      <c r="E135" s="259">
        <v>0</v>
      </c>
      <c r="F135" s="259">
        <f>D135*C135+E135</f>
        <v>1798</v>
      </c>
      <c r="G135" s="263">
        <v>42710</v>
      </c>
      <c r="H135" s="264">
        <v>40</v>
      </c>
      <c r="I135" s="259">
        <v>55.08</v>
      </c>
      <c r="J135" s="259">
        <v>0.05</v>
      </c>
      <c r="K135" s="259">
        <f>I135*H135-J135</f>
        <v>2203.1499999999996</v>
      </c>
      <c r="L135" s="263"/>
      <c r="M135" s="258"/>
    </row>
    <row r="136" spans="1:13" x14ac:dyDescent="0.25">
      <c r="A136" s="258"/>
      <c r="B136" s="263"/>
      <c r="C136" s="258"/>
      <c r="D136" s="259"/>
      <c r="E136" s="259"/>
      <c r="F136" s="259"/>
      <c r="G136" s="263"/>
      <c r="H136" s="406"/>
      <c r="I136" s="365"/>
      <c r="J136" s="365"/>
      <c r="K136" s="365"/>
      <c r="L136" s="258"/>
      <c r="M136" s="258"/>
    </row>
    <row r="137" spans="1:13" x14ac:dyDescent="0.25">
      <c r="A137" s="258"/>
      <c r="B137" s="452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2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8"/>
      <c r="M137" s="258"/>
    </row>
    <row r="138" spans="1:13" x14ac:dyDescent="0.25">
      <c r="A138" s="258"/>
      <c r="B138" s="452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598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8"/>
      <c r="M138" s="258"/>
    </row>
    <row r="139" spans="1:13" x14ac:dyDescent="0.25">
      <c r="A139" s="258"/>
      <c r="B139" s="452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2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8"/>
      <c r="M139" s="258"/>
    </row>
    <row r="140" spans="1:13" x14ac:dyDescent="0.25">
      <c r="A140" s="258"/>
      <c r="B140" s="263"/>
      <c r="C140" s="258"/>
      <c r="D140" s="259"/>
      <c r="E140" s="259"/>
      <c r="F140" s="259"/>
      <c r="G140" s="263"/>
      <c r="H140" s="264"/>
      <c r="I140" s="259"/>
      <c r="J140" s="259"/>
      <c r="K140" s="365"/>
      <c r="L140" s="258"/>
      <c r="M140" s="258"/>
    </row>
    <row r="141" spans="1:13" x14ac:dyDescent="0.25">
      <c r="A141" s="258"/>
      <c r="B141" s="452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2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8"/>
      <c r="B142" s="263"/>
      <c r="C142" s="258"/>
      <c r="D142" s="259"/>
      <c r="E142" s="259"/>
      <c r="F142" s="259"/>
      <c r="G142" s="263"/>
      <c r="H142" s="264"/>
      <c r="I142" s="259"/>
      <c r="J142" s="259"/>
      <c r="K142" s="365"/>
      <c r="L142" s="258"/>
      <c r="M142" s="258"/>
    </row>
    <row r="143" spans="1:13" x14ac:dyDescent="0.25">
      <c r="A143" s="258"/>
      <c r="B143" s="263"/>
      <c r="C143" s="258"/>
      <c r="D143" s="259"/>
      <c r="E143" s="259"/>
      <c r="F143" s="259"/>
      <c r="G143" s="263"/>
      <c r="H143" s="264"/>
      <c r="I143" s="259"/>
      <c r="J143" s="259"/>
      <c r="K143" s="365"/>
      <c r="L143" s="258"/>
      <c r="M143" s="258"/>
    </row>
    <row r="144" spans="1:13" x14ac:dyDescent="0.25">
      <c r="A144" s="258"/>
      <c r="B144" s="263"/>
      <c r="C144" s="258"/>
      <c r="D144" s="259"/>
      <c r="E144" s="259"/>
      <c r="F144" s="259"/>
      <c r="G144" s="263"/>
      <c r="H144" s="264"/>
      <c r="I144" s="259"/>
      <c r="J144" s="259"/>
      <c r="K144" s="365"/>
      <c r="L144" s="258"/>
      <c r="M144" s="258"/>
    </row>
    <row r="145" spans="1:13" x14ac:dyDescent="0.25">
      <c r="A145" s="258"/>
      <c r="B145" s="263"/>
      <c r="C145" s="258"/>
      <c r="D145" s="259"/>
      <c r="E145" s="259"/>
      <c r="F145" s="259"/>
      <c r="G145" s="263"/>
      <c r="H145" s="264"/>
      <c r="I145" s="259"/>
      <c r="J145" s="259"/>
      <c r="K145" s="365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64"/>
      <c r="I146" s="259"/>
      <c r="J146" s="259"/>
      <c r="K146" s="259"/>
      <c r="L146" s="258"/>
      <c r="M146" s="258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0" t="s">
        <v>195</v>
      </c>
      <c r="B148" s="461"/>
      <c r="C148" s="462">
        <f>SumByColor($A$19,C124:C146)</f>
        <v>160</v>
      </c>
      <c r="D148" s="462"/>
      <c r="E148" s="462"/>
      <c r="F148" s="463">
        <f>SumByColor($A$19,F124:F146)</f>
        <v>8817</v>
      </c>
      <c r="G148" s="462"/>
      <c r="H148" s="462">
        <f>SumByColor($A$19,H124:H146)</f>
        <v>160</v>
      </c>
      <c r="I148" s="462"/>
      <c r="J148" s="462"/>
      <c r="K148" s="463">
        <f>SumByColor($A$19,K124:K146)</f>
        <v>9164</v>
      </c>
      <c r="L148" s="462"/>
      <c r="M148" s="463">
        <f>SumByColor($A$19,M124:M146)</f>
        <v>30</v>
      </c>
    </row>
  </sheetData>
  <mergeCells count="1">
    <mergeCell ref="P39:Q39"/>
  </mergeCells>
  <conditionalFormatting sqref="F61:F63">
    <cfRule type="expression" dxfId="494" priority="79">
      <formula>F61&gt;0</formula>
    </cfRule>
    <cfRule type="expression" dxfId="493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2" priority="71">
      <formula>F64&gt;0</formula>
    </cfRule>
    <cfRule type="expression" dxfId="491" priority="72">
      <formula>F64&lt;0</formula>
    </cfRule>
  </conditionalFormatting>
  <conditionalFormatting sqref="F64:F92 F99:F101 F108:F119">
    <cfRule type="expression" dxfId="490" priority="73">
      <formula>F64&gt;0</formula>
    </cfRule>
    <cfRule type="expression" dxfId="489" priority="74">
      <formula>F64&lt;0</formula>
    </cfRule>
  </conditionalFormatting>
  <conditionalFormatting sqref="H61:H92 H99:H101 H108:H119">
    <cfRule type="expression" dxfId="488" priority="69">
      <formula>H61&gt;0</formula>
    </cfRule>
    <cfRule type="expression" dxfId="487" priority="70">
      <formula>H61&lt;0</formula>
    </cfRule>
  </conditionalFormatting>
  <conditionalFormatting sqref="F57:F60">
    <cfRule type="expression" dxfId="486" priority="55">
      <formula>F57&gt;0</formula>
    </cfRule>
    <cfRule type="expression" dxfId="485" priority="56">
      <formula>F57&lt;0</formula>
    </cfRule>
  </conditionalFormatting>
  <conditionalFormatting sqref="H57:H60">
    <cfRule type="expression" dxfId="484" priority="53">
      <formula>H57&gt;0</formula>
    </cfRule>
    <cfRule type="expression" dxfId="483" priority="54">
      <formula>H57&lt;0</formula>
    </cfRule>
  </conditionalFormatting>
  <conditionalFormatting sqref="Q8">
    <cfRule type="expression" dxfId="482" priority="49">
      <formula>Q8&gt;0</formula>
    </cfRule>
    <cfRule type="expression" dxfId="481" priority="50">
      <formula>Q8&lt;0</formula>
    </cfRule>
  </conditionalFormatting>
  <conditionalFormatting sqref="Q7">
    <cfRule type="expression" dxfId="480" priority="51">
      <formula>Q7&gt;0</formula>
    </cfRule>
    <cfRule type="expression" dxfId="479" priority="52">
      <formula>Q7&lt;0</formula>
    </cfRule>
  </conditionalFormatting>
  <conditionalFormatting sqref="F93:F98">
    <cfRule type="expression" dxfId="478" priority="45">
      <formula>F93&gt;0</formula>
    </cfRule>
    <cfRule type="expression" dxfId="477" priority="46">
      <formula>F93&lt;0</formula>
    </cfRule>
  </conditionalFormatting>
  <conditionalFormatting sqref="F93:F98">
    <cfRule type="expression" dxfId="476" priority="47">
      <formula>F93&gt;0</formula>
    </cfRule>
    <cfRule type="expression" dxfId="475" priority="48">
      <formula>F93&lt;0</formula>
    </cfRule>
  </conditionalFormatting>
  <conditionalFormatting sqref="H93:H98">
    <cfRule type="expression" dxfId="474" priority="43">
      <formula>H93&gt;0</formula>
    </cfRule>
    <cfRule type="expression" dxfId="473" priority="44">
      <formula>H93&lt;0</formula>
    </cfRule>
  </conditionalFormatting>
  <conditionalFormatting sqref="M122">
    <cfRule type="expression" dxfId="472" priority="39">
      <formula>M122&gt;0</formula>
    </cfRule>
    <cfRule type="expression" dxfId="471" priority="40">
      <formula>M122&lt;0</formula>
    </cfRule>
  </conditionalFormatting>
  <conditionalFormatting sqref="M122">
    <cfRule type="expression" dxfId="470" priority="41">
      <formula>M122&gt;0</formula>
    </cfRule>
    <cfRule type="expression" dxfId="469" priority="42">
      <formula>M122&lt;0</formula>
    </cfRule>
  </conditionalFormatting>
  <conditionalFormatting sqref="F103:F107">
    <cfRule type="expression" dxfId="468" priority="37">
      <formula>F103&gt;0</formula>
    </cfRule>
    <cfRule type="expression" dxfId="467" priority="38">
      <formula>F103&lt;0</formula>
    </cfRule>
  </conditionalFormatting>
  <conditionalFormatting sqref="H103:H107">
    <cfRule type="expression" dxfId="466" priority="35">
      <formula>H103&gt;0</formula>
    </cfRule>
    <cfRule type="expression" dxfId="465" priority="36">
      <formula>H103&lt;0</formula>
    </cfRule>
  </conditionalFormatting>
  <conditionalFormatting sqref="F24:F51">
    <cfRule type="expression" dxfId="464" priority="27">
      <formula>F24&gt;0</formula>
    </cfRule>
    <cfRule type="expression" dxfId="463" priority="28">
      <formula>F24&lt;0</formula>
    </cfRule>
  </conditionalFormatting>
  <conditionalFormatting sqref="F24:F51">
    <cfRule type="expression" dxfId="462" priority="29">
      <formula>F24&gt;0</formula>
    </cfRule>
    <cfRule type="expression" dxfId="461" priority="30">
      <formula>F24&lt;0</formula>
    </cfRule>
  </conditionalFormatting>
  <conditionalFormatting sqref="H24:H51">
    <cfRule type="expression" dxfId="460" priority="25">
      <formula>H24&gt;0</formula>
    </cfRule>
    <cfRule type="expression" dxfId="459" priority="26">
      <formula>H24&lt;0</formula>
    </cfRule>
  </conditionalFormatting>
  <conditionalFormatting sqref="J34">
    <cfRule type="expression" dxfId="458" priority="23">
      <formula>J34&gt;0</formula>
    </cfRule>
    <cfRule type="expression" dxfId="457" priority="24">
      <formula>J34&lt;0</formula>
    </cfRule>
  </conditionalFormatting>
  <conditionalFormatting sqref="J35">
    <cfRule type="expression" dxfId="456" priority="21">
      <formula>J35&gt;0</formula>
    </cfRule>
    <cfRule type="expression" dxfId="455" priority="22">
      <formula>J35&lt;0</formula>
    </cfRule>
  </conditionalFormatting>
  <conditionalFormatting sqref="J36:J47">
    <cfRule type="expression" dxfId="454" priority="19">
      <formula>J36&gt;0</formula>
    </cfRule>
    <cfRule type="expression" dxfId="453" priority="20">
      <formula>J36&lt;0</formula>
    </cfRule>
  </conditionalFormatting>
  <conditionalFormatting sqref="K34">
    <cfRule type="expression" dxfId="452" priority="5">
      <formula>K34&gt;0</formula>
    </cfRule>
    <cfRule type="expression" dxfId="451" priority="6">
      <formula>K34&lt;0</formula>
    </cfRule>
  </conditionalFormatting>
  <conditionalFormatting sqref="K35">
    <cfRule type="expression" dxfId="450" priority="3">
      <formula>K35&gt;0</formula>
    </cfRule>
    <cfRule type="expression" dxfId="449" priority="4">
      <formula>K35&lt;0</formula>
    </cfRule>
  </conditionalFormatting>
  <conditionalFormatting sqref="K36:K47">
    <cfRule type="expression" dxfId="448" priority="1">
      <formula>K36&gt;0</formula>
    </cfRule>
    <cfRule type="expression" dxfId="447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8"/>
      <c r="C2" s="17"/>
      <c r="D2" s="74"/>
      <c r="E2" s="74"/>
      <c r="F2" s="74"/>
      <c r="G2" s="1"/>
      <c r="H2" s="182"/>
      <c r="I2" s="3"/>
      <c r="J2" s="3"/>
      <c r="K2" s="3"/>
      <c r="L2" s="118"/>
      <c r="M2" s="3"/>
      <c r="O2" s="11" t="s">
        <v>57</v>
      </c>
      <c r="Q2">
        <f>C18-H18</f>
        <v>0</v>
      </c>
      <c r="T2" s="84">
        <v>42562</v>
      </c>
      <c r="U2" t="s">
        <v>235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5">
        <f>AC2/AC3-1</f>
        <v>-1.1101373064563158E-2</v>
      </c>
    </row>
    <row r="3" spans="1:40" x14ac:dyDescent="0.25">
      <c r="A3" s="23" t="s">
        <v>71</v>
      </c>
      <c r="B3" s="255"/>
      <c r="C3" s="274"/>
      <c r="D3" s="275"/>
      <c r="E3" s="275"/>
      <c r="F3" s="74"/>
      <c r="G3" s="1"/>
      <c r="H3" s="182"/>
      <c r="I3" s="3"/>
      <c r="J3" s="3"/>
      <c r="K3" s="3"/>
      <c r="L3" s="255"/>
      <c r="M3" s="3"/>
      <c r="O3" s="11" t="s">
        <v>58</v>
      </c>
      <c r="Q3" s="227">
        <f>IF(Q2=0, Q4, (F18-K18-M18)/Q2)</f>
        <v>37.5</v>
      </c>
      <c r="T3" s="119">
        <v>42568</v>
      </c>
      <c r="U3" t="s">
        <v>242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5">
        <f t="shared" ref="AE3:AE39" si="1">AC3/AC4-1</f>
        <v>2.9222676797191482E-4</v>
      </c>
      <c r="AN3" s="231"/>
    </row>
    <row r="4" spans="1:40" x14ac:dyDescent="0.25">
      <c r="B4" s="255"/>
      <c r="C4" s="274"/>
      <c r="D4" s="275"/>
      <c r="E4" s="275"/>
      <c r="F4" s="74"/>
      <c r="G4" s="255"/>
      <c r="H4" s="276"/>
      <c r="I4" s="275"/>
      <c r="J4" s="275"/>
      <c r="K4" s="275"/>
      <c r="L4" s="274"/>
      <c r="O4" s="11" t="s">
        <v>66</v>
      </c>
      <c r="Q4" s="198">
        <v>37.5</v>
      </c>
      <c r="R4" s="497">
        <v>8.3000000000000001E-3</v>
      </c>
      <c r="T4" s="119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5">
        <f t="shared" si="1"/>
        <v>-5.2325581395348264E-3</v>
      </c>
      <c r="AK4" s="231"/>
      <c r="AN4" s="231"/>
    </row>
    <row r="5" spans="1:40" x14ac:dyDescent="0.25">
      <c r="B5" s="255"/>
      <c r="C5" s="274"/>
      <c r="D5" s="275"/>
      <c r="E5" s="275"/>
      <c r="F5" s="275"/>
      <c r="G5" s="255"/>
      <c r="H5" s="276"/>
      <c r="I5" s="275"/>
      <c r="J5" s="275"/>
      <c r="K5" s="275"/>
      <c r="L5" s="274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5">
        <f t="shared" si="1"/>
        <v>2.7172290235891294E-2</v>
      </c>
      <c r="AK5" s="231"/>
      <c r="AN5" s="231"/>
    </row>
    <row r="6" spans="1:40" x14ac:dyDescent="0.25">
      <c r="B6" s="255"/>
      <c r="C6" s="274"/>
      <c r="D6" s="275"/>
      <c r="E6" s="275"/>
      <c r="F6" s="275"/>
      <c r="G6" s="255"/>
      <c r="H6" s="276"/>
      <c r="I6" s="275"/>
      <c r="J6" s="275"/>
      <c r="K6" s="275"/>
      <c r="L6" s="274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5">
        <f t="shared" si="1"/>
        <v>1.7623822546338763E-2</v>
      </c>
    </row>
    <row r="7" spans="1:40" x14ac:dyDescent="0.25">
      <c r="B7" s="255"/>
      <c r="C7" s="274"/>
      <c r="D7" s="275"/>
      <c r="E7" s="275"/>
      <c r="F7" s="275"/>
      <c r="G7" s="255"/>
      <c r="H7" s="276"/>
      <c r="I7" s="275"/>
      <c r="J7" s="275"/>
      <c r="K7" s="275"/>
      <c r="L7" s="274"/>
      <c r="O7" s="11" t="s">
        <v>179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5">
        <f t="shared" si="1"/>
        <v>-3.0376670716902865E-4</v>
      </c>
      <c r="AK7" s="231"/>
      <c r="AN7" s="231"/>
    </row>
    <row r="8" spans="1:40" x14ac:dyDescent="0.25">
      <c r="B8" s="255"/>
      <c r="C8" s="274"/>
      <c r="D8" s="275"/>
      <c r="E8" s="275"/>
      <c r="F8" s="275"/>
      <c r="G8" s="255"/>
      <c r="H8" s="276"/>
      <c r="I8" s="275"/>
      <c r="J8" s="275"/>
      <c r="K8" s="275"/>
      <c r="L8" s="274"/>
      <c r="O8" s="11" t="s">
        <v>181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5">
        <f t="shared" si="1"/>
        <v>1.3858946720049392E-2</v>
      </c>
    </row>
    <row r="9" spans="1:40" x14ac:dyDescent="0.25">
      <c r="O9" s="11" t="s">
        <v>211</v>
      </c>
      <c r="P9"/>
      <c r="Q9" s="135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5">
        <f t="shared" si="1"/>
        <v>-2.7641277641278217E-3</v>
      </c>
      <c r="AK9" s="231"/>
      <c r="AN9" s="231"/>
    </row>
    <row r="10" spans="1:40" x14ac:dyDescent="0.25">
      <c r="O10" s="11" t="s">
        <v>210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5">
        <f t="shared" si="1"/>
        <v>-2.2515761032722903E-2</v>
      </c>
    </row>
    <row r="11" spans="1:40" x14ac:dyDescent="0.25">
      <c r="O11" s="11" t="s">
        <v>176</v>
      </c>
      <c r="Q11" s="135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5">
        <f t="shared" si="1"/>
        <v>-1.1279311368358469E-2</v>
      </c>
      <c r="AK11" s="231"/>
      <c r="AN11" s="231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5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5">
        <f t="shared" si="1"/>
        <v>-4.8137535816618948E-2</v>
      </c>
      <c r="AK13" s="231"/>
      <c r="AN13" s="231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5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5">
        <f t="shared" si="1"/>
        <v>-1.1588468061051516E-2</v>
      </c>
      <c r="AK15" s="231"/>
      <c r="AN15" s="231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5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5">
        <f t="shared" si="1"/>
        <v>2.7785902310617283E-2</v>
      </c>
      <c r="AK17" s="231"/>
      <c r="AN17" s="231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5">
        <f t="shared" si="1"/>
        <v>-1.4697406340057784E-2</v>
      </c>
    </row>
    <row r="19" spans="1:40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5">
        <f t="shared" si="1"/>
        <v>4.9232551404576608E-3</v>
      </c>
      <c r="AK19" s="231"/>
      <c r="AN19" s="231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5">
        <f t="shared" si="1"/>
        <v>-2.3472850678732948E-2</v>
      </c>
    </row>
    <row r="21" spans="1:40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5">
        <f t="shared" si="1"/>
        <v>-1.7504862461795057E-2</v>
      </c>
      <c r="AK21" s="231"/>
      <c r="AN21" s="231"/>
    </row>
    <row r="22" spans="1:40" x14ac:dyDescent="0.25">
      <c r="B22" s="190"/>
      <c r="C22" s="10"/>
      <c r="D22" s="40"/>
      <c r="E22" s="40"/>
      <c r="F22" s="40"/>
      <c r="G22" s="40"/>
      <c r="H22" s="228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5">
        <f t="shared" si="1"/>
        <v>5.3072625698324938E-3</v>
      </c>
    </row>
    <row r="23" spans="1:40" x14ac:dyDescent="0.25">
      <c r="B23" s="190"/>
      <c r="C23" s="10"/>
      <c r="D23" s="40"/>
      <c r="E23" s="40"/>
      <c r="F23" s="40"/>
      <c r="G23" s="40"/>
      <c r="H23" s="228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5">
        <f t="shared" si="1"/>
        <v>-3.0598429461142773E-2</v>
      </c>
      <c r="AK23" s="231"/>
    </row>
    <row r="24" spans="1:40" x14ac:dyDescent="0.25">
      <c r="B24" s="190"/>
      <c r="C24" s="10"/>
      <c r="D24" s="40"/>
      <c r="E24" s="40"/>
      <c r="F24" s="40"/>
      <c r="G24" s="40"/>
      <c r="H24" s="228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5">
        <f t="shared" si="1"/>
        <v>1.511819681143467E-2</v>
      </c>
    </row>
    <row r="25" spans="1:40" x14ac:dyDescent="0.25">
      <c r="B25" s="190"/>
      <c r="C25" s="10"/>
      <c r="D25" s="40"/>
      <c r="E25" s="40"/>
      <c r="F25" s="40"/>
      <c r="G25" s="40"/>
      <c r="H25" s="228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5">
        <f t="shared" si="1"/>
        <v>1.4783821478382198E-2</v>
      </c>
    </row>
    <row r="26" spans="1:40" x14ac:dyDescent="0.25">
      <c r="B26" s="190"/>
      <c r="C26" s="10"/>
      <c r="D26" s="40"/>
      <c r="E26" s="40"/>
      <c r="F26" s="40"/>
      <c r="G26" s="40"/>
      <c r="H26" s="228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5">
        <f t="shared" si="1"/>
        <v>-5.6330613319294565E-2</v>
      </c>
    </row>
    <row r="27" spans="1:40" x14ac:dyDescent="0.25">
      <c r="B27" s="190"/>
      <c r="C27" s="10"/>
      <c r="D27" s="40"/>
      <c r="E27" s="40"/>
      <c r="F27" s="40"/>
      <c r="G27" s="40"/>
      <c r="H27" s="228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5">
        <f t="shared" si="1"/>
        <v>9.8294304712344571E-2</v>
      </c>
    </row>
    <row r="28" spans="1:40" x14ac:dyDescent="0.25">
      <c r="B28" s="190"/>
      <c r="C28" s="10"/>
      <c r="D28" s="40"/>
      <c r="E28" s="40"/>
      <c r="F28" s="40"/>
      <c r="G28" s="40"/>
      <c r="H28" s="228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5">
        <f t="shared" si="1"/>
        <v>-5.4629097182288255E-3</v>
      </c>
    </row>
    <row r="29" spans="1:40" x14ac:dyDescent="0.25">
      <c r="B29" s="190"/>
      <c r="C29" s="10"/>
      <c r="D29" s="40"/>
      <c r="E29" s="40"/>
      <c r="F29" s="40"/>
      <c r="G29" s="40"/>
      <c r="H29" s="228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5">
        <f t="shared" si="1"/>
        <v>8.7006960556845758E-3</v>
      </c>
    </row>
    <row r="30" spans="1:40" x14ac:dyDescent="0.25">
      <c r="B30" s="190"/>
      <c r="C30" s="10"/>
      <c r="D30" s="40"/>
      <c r="E30" s="40"/>
      <c r="F30" s="40"/>
      <c r="G30" s="40"/>
      <c r="H30" s="228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5">
        <f t="shared" si="1"/>
        <v>4.6620046620045041E-3</v>
      </c>
    </row>
    <row r="31" spans="1:40" x14ac:dyDescent="0.25">
      <c r="B31" s="190"/>
      <c r="C31" s="10"/>
      <c r="D31" s="40"/>
      <c r="E31" s="40"/>
      <c r="F31" s="40"/>
      <c r="G31" s="40"/>
      <c r="H31" s="228"/>
      <c r="I31" s="233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5">
        <f t="shared" si="1"/>
        <v>-6.2295081967213117E-2</v>
      </c>
    </row>
    <row r="32" spans="1:40" x14ac:dyDescent="0.25">
      <c r="B32" s="190"/>
      <c r="C32" s="10"/>
      <c r="D32" s="40"/>
      <c r="E32" s="40"/>
      <c r="F32" s="40"/>
      <c r="G32" s="40"/>
      <c r="H32" s="228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5">
        <f t="shared" si="1"/>
        <v>-2.9964587305910673E-3</v>
      </c>
    </row>
    <row r="33" spans="1:31" x14ac:dyDescent="0.25">
      <c r="B33" s="190"/>
      <c r="C33" s="10"/>
      <c r="D33" s="40"/>
      <c r="E33" s="40"/>
      <c r="F33" s="40"/>
      <c r="G33" s="40"/>
      <c r="H33" s="228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5">
        <f t="shared" si="1"/>
        <v>1.3808340237503547E-2</v>
      </c>
    </row>
    <row r="34" spans="1:31" x14ac:dyDescent="0.25">
      <c r="B34" s="190"/>
      <c r="C34" s="10"/>
      <c r="D34" s="40"/>
      <c r="E34" s="40"/>
      <c r="F34" s="40"/>
      <c r="G34" s="40"/>
      <c r="H34" s="228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5">
        <f t="shared" si="1"/>
        <v>-6.85682940208443E-3</v>
      </c>
    </row>
    <row r="35" spans="1:31" x14ac:dyDescent="0.25">
      <c r="B35" s="190"/>
      <c r="C35" s="10"/>
      <c r="D35" s="40"/>
      <c r="E35" s="40"/>
      <c r="F35" s="40"/>
      <c r="G35" s="40"/>
      <c r="H35" s="228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5">
        <f t="shared" si="1"/>
        <v>-3.7232637972009375E-2</v>
      </c>
    </row>
    <row r="36" spans="1:31" x14ac:dyDescent="0.25">
      <c r="B36" s="190"/>
      <c r="C36" s="10"/>
      <c r="D36" s="40"/>
      <c r="E36" s="40"/>
      <c r="F36" s="40"/>
      <c r="G36" s="40"/>
      <c r="H36" s="228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5">
        <f t="shared" si="1"/>
        <v>-1.7894190871369453E-2</v>
      </c>
    </row>
    <row r="37" spans="1:31" x14ac:dyDescent="0.25">
      <c r="B37" s="190"/>
      <c r="C37" s="10"/>
      <c r="D37" s="40"/>
      <c r="E37" s="40"/>
      <c r="F37" s="40"/>
      <c r="G37" s="40"/>
      <c r="H37" s="228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5">
        <f t="shared" si="1"/>
        <v>2.0790020790022457E-3</v>
      </c>
    </row>
    <row r="38" spans="1:31" x14ac:dyDescent="0.25">
      <c r="B38" s="190"/>
      <c r="C38" s="10"/>
      <c r="D38" s="40"/>
      <c r="E38" s="40"/>
      <c r="F38" s="40"/>
      <c r="G38" s="40"/>
      <c r="H38" s="228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5">
        <f t="shared" si="1"/>
        <v>4.6997389033942572E-3</v>
      </c>
    </row>
    <row r="39" spans="1:31" ht="20.25" thickBot="1" x14ac:dyDescent="0.35">
      <c r="B39" s="190"/>
      <c r="C39" s="10"/>
      <c r="D39" s="40"/>
      <c r="E39" s="40"/>
      <c r="F39" s="40"/>
      <c r="G39" s="40"/>
      <c r="H39" s="228"/>
      <c r="I39" s="40"/>
      <c r="O39" s="11"/>
      <c r="P39" s="716" t="s">
        <v>78</v>
      </c>
      <c r="Q39" s="716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5">
        <f t="shared" si="1"/>
        <v>2.3516835916622014E-2</v>
      </c>
    </row>
    <row r="40" spans="1:31" ht="15.75" thickTop="1" x14ac:dyDescent="0.25">
      <c r="B40" s="255"/>
      <c r="C40" s="276"/>
      <c r="D40" s="275"/>
      <c r="E40" s="275"/>
      <c r="F40" s="275"/>
      <c r="G40" s="255"/>
      <c r="H40" s="276"/>
      <c r="I40" s="275"/>
      <c r="J40" s="275"/>
      <c r="K40" s="275"/>
      <c r="L40" s="274"/>
      <c r="O40" s="2"/>
      <c r="P40" s="82">
        <v>1.1000000000000001</v>
      </c>
      <c r="Q40" s="82">
        <f>P40*$Q$4</f>
        <v>41.25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5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7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40.875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5" t="e">
        <f>AC68/AC69-1</f>
        <v>#DIV/0!</v>
      </c>
    </row>
    <row r="42" spans="1:31" x14ac:dyDescent="0.25">
      <c r="A42" s="258"/>
      <c r="B42" s="258"/>
      <c r="C42" s="258"/>
      <c r="D42" s="259"/>
      <c r="E42" s="259"/>
      <c r="F42" s="259"/>
      <c r="G42" s="258"/>
      <c r="H42" s="258"/>
      <c r="I42" s="259"/>
      <c r="J42" s="259"/>
      <c r="K42" s="260" t="s">
        <v>130</v>
      </c>
      <c r="L42" s="258"/>
      <c r="M42" s="259">
        <f>K85+M85-F85</f>
        <v>1128.3800000000047</v>
      </c>
      <c r="N42" s="258"/>
      <c r="O42" s="2"/>
      <c r="P42" s="82">
        <v>1.08</v>
      </c>
      <c r="Q42" s="82">
        <f t="shared" si="2"/>
        <v>40.5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5"/>
    </row>
    <row r="43" spans="1:31" x14ac:dyDescent="0.25">
      <c r="A43" s="260" t="s">
        <v>1</v>
      </c>
      <c r="B43" s="260" t="s">
        <v>2</v>
      </c>
      <c r="C43" s="260" t="s">
        <v>4</v>
      </c>
      <c r="D43" s="261" t="s">
        <v>5</v>
      </c>
      <c r="E43" s="261" t="s">
        <v>90</v>
      </c>
      <c r="F43" s="261" t="s">
        <v>60</v>
      </c>
      <c r="G43" s="260" t="s">
        <v>3</v>
      </c>
      <c r="H43" s="260" t="s">
        <v>6</v>
      </c>
      <c r="I43" s="261" t="s">
        <v>7</v>
      </c>
      <c r="J43" s="261" t="s">
        <v>89</v>
      </c>
      <c r="K43" s="261" t="s">
        <v>61</v>
      </c>
      <c r="L43" s="260" t="s">
        <v>77</v>
      </c>
      <c r="M43" s="260" t="s">
        <v>38</v>
      </c>
      <c r="N43" s="260"/>
      <c r="O43" s="2"/>
      <c r="P43" s="82">
        <v>1.07</v>
      </c>
      <c r="Q43" s="82">
        <f t="shared" si="2"/>
        <v>40.125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5"/>
    </row>
    <row r="44" spans="1:31" x14ac:dyDescent="0.25">
      <c r="A44" s="262" t="s">
        <v>10</v>
      </c>
      <c r="B44" s="263">
        <v>42146</v>
      </c>
      <c r="C44" s="258">
        <v>100</v>
      </c>
      <c r="D44" s="259">
        <v>13.1</v>
      </c>
      <c r="E44" s="259">
        <v>0</v>
      </c>
      <c r="F44" s="259">
        <f>C44*D44+E44</f>
        <v>1310</v>
      </c>
      <c r="G44" s="263">
        <v>42199</v>
      </c>
      <c r="H44" s="258">
        <v>52</v>
      </c>
      <c r="I44" s="259">
        <v>10.7</v>
      </c>
      <c r="J44" s="259">
        <v>0.01</v>
      </c>
      <c r="K44" s="259">
        <f t="shared" ref="K44:K67" si="3">H44*I44-J44</f>
        <v>556.39</v>
      </c>
      <c r="L44" s="263">
        <v>42241</v>
      </c>
      <c r="M44" s="259">
        <v>12</v>
      </c>
      <c r="N44" s="258"/>
      <c r="O44" s="2"/>
      <c r="P44" s="82">
        <v>1.06</v>
      </c>
      <c r="Q44" s="82">
        <f t="shared" si="2"/>
        <v>39.75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5"/>
    </row>
    <row r="45" spans="1:31" x14ac:dyDescent="0.25">
      <c r="A45" s="265" t="s">
        <v>71</v>
      </c>
      <c r="B45" s="263">
        <v>42151</v>
      </c>
      <c r="C45" s="258">
        <v>102</v>
      </c>
      <c r="D45" s="259">
        <v>12.99</v>
      </c>
      <c r="E45" s="259">
        <v>0</v>
      </c>
      <c r="F45" s="259">
        <f t="shared" ref="F45:F79" si="4">C45*D45+E45</f>
        <v>1324.98</v>
      </c>
      <c r="G45" s="263">
        <v>42235</v>
      </c>
      <c r="H45" s="258">
        <v>150</v>
      </c>
      <c r="I45" s="259">
        <v>9.41</v>
      </c>
      <c r="J45" s="259">
        <v>0.03</v>
      </c>
      <c r="K45" s="259">
        <f t="shared" si="3"/>
        <v>1411.47</v>
      </c>
      <c r="L45" s="263">
        <v>42333</v>
      </c>
      <c r="M45" s="259">
        <v>111</v>
      </c>
      <c r="N45" s="258"/>
      <c r="O45" s="2"/>
      <c r="P45" s="82">
        <v>1.05</v>
      </c>
      <c r="Q45" s="82">
        <f t="shared" si="2"/>
        <v>39.375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5"/>
    </row>
    <row r="46" spans="1:31" x14ac:dyDescent="0.25">
      <c r="A46" s="258"/>
      <c r="B46" s="263">
        <v>42152</v>
      </c>
      <c r="C46" s="258">
        <v>50</v>
      </c>
      <c r="D46" s="259">
        <v>12.94</v>
      </c>
      <c r="E46" s="259">
        <v>0</v>
      </c>
      <c r="F46" s="259">
        <f t="shared" si="4"/>
        <v>647</v>
      </c>
      <c r="G46" s="263">
        <v>42256</v>
      </c>
      <c r="H46" s="264">
        <v>300</v>
      </c>
      <c r="I46" s="259">
        <v>9.6999999999999993</v>
      </c>
      <c r="J46" s="259">
        <v>0.05</v>
      </c>
      <c r="K46" s="259">
        <f t="shared" si="3"/>
        <v>2909.95</v>
      </c>
      <c r="L46" s="263">
        <v>42425</v>
      </c>
      <c r="M46" s="259">
        <v>15</v>
      </c>
      <c r="N46" s="258"/>
      <c r="O46" s="2"/>
      <c r="P46" s="82">
        <v>1.04</v>
      </c>
      <c r="Q46" s="82">
        <f t="shared" si="2"/>
        <v>39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5"/>
    </row>
    <row r="47" spans="1:31" x14ac:dyDescent="0.25">
      <c r="A47" s="258"/>
      <c r="B47" s="263">
        <v>42166</v>
      </c>
      <c r="C47" s="258">
        <v>48</v>
      </c>
      <c r="D47" s="259">
        <v>12.3</v>
      </c>
      <c r="E47" s="259">
        <v>0</v>
      </c>
      <c r="F47" s="259">
        <f t="shared" si="4"/>
        <v>590.40000000000009</v>
      </c>
      <c r="G47" s="263">
        <v>42285</v>
      </c>
      <c r="H47" s="264">
        <v>300</v>
      </c>
      <c r="I47" s="259">
        <v>9.85</v>
      </c>
      <c r="J47" s="259">
        <v>0.05</v>
      </c>
      <c r="K47" s="259">
        <f t="shared" si="3"/>
        <v>2954.95</v>
      </c>
      <c r="L47" s="258"/>
      <c r="M47" s="259"/>
      <c r="N47" s="258"/>
      <c r="O47" s="2"/>
      <c r="P47" s="82">
        <v>1.03</v>
      </c>
      <c r="Q47" s="82">
        <f t="shared" si="2"/>
        <v>38.625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5"/>
    </row>
    <row r="48" spans="1:31" x14ac:dyDescent="0.25">
      <c r="A48" s="258"/>
      <c r="B48" s="263">
        <v>42180</v>
      </c>
      <c r="C48" s="258">
        <v>50</v>
      </c>
      <c r="D48" s="259">
        <v>11.7</v>
      </c>
      <c r="E48" s="259">
        <v>0</v>
      </c>
      <c r="F48" s="259">
        <f t="shared" si="4"/>
        <v>585</v>
      </c>
      <c r="G48" s="263">
        <v>42285</v>
      </c>
      <c r="H48" s="264">
        <v>100</v>
      </c>
      <c r="I48" s="259">
        <v>9.98</v>
      </c>
      <c r="J48" s="259">
        <v>0.02</v>
      </c>
      <c r="K48" s="259">
        <f t="shared" si="3"/>
        <v>997.98</v>
      </c>
      <c r="L48" s="258"/>
      <c r="M48" s="259"/>
      <c r="N48" s="258"/>
      <c r="O48" s="2"/>
      <c r="P48" s="82">
        <v>1.02</v>
      </c>
      <c r="Q48" s="82">
        <f t="shared" si="2"/>
        <v>38.25</v>
      </c>
      <c r="R48" s="82"/>
      <c r="T48" s="86" t="s">
        <v>104</v>
      </c>
      <c r="U48" s="87" t="s">
        <v>687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5"/>
    </row>
    <row r="49" spans="1:31" x14ac:dyDescent="0.25">
      <c r="A49" s="258"/>
      <c r="B49" s="263">
        <v>42198</v>
      </c>
      <c r="C49" s="258">
        <v>50</v>
      </c>
      <c r="D49" s="259">
        <v>10.5</v>
      </c>
      <c r="E49" s="259">
        <v>0</v>
      </c>
      <c r="F49" s="259">
        <f t="shared" si="4"/>
        <v>525</v>
      </c>
      <c r="G49" s="263">
        <v>42304</v>
      </c>
      <c r="H49" s="264">
        <v>1400</v>
      </c>
      <c r="I49" s="259">
        <v>9.4600000000000009</v>
      </c>
      <c r="J49" s="259">
        <v>0.24</v>
      </c>
      <c r="K49" s="259">
        <f t="shared" si="3"/>
        <v>13243.760000000002</v>
      </c>
      <c r="L49" s="258"/>
      <c r="M49" s="259"/>
      <c r="N49" s="258"/>
      <c r="O49" s="2"/>
      <c r="P49" s="82">
        <v>1.01</v>
      </c>
      <c r="Q49" s="82">
        <f t="shared" si="2"/>
        <v>37.875</v>
      </c>
      <c r="R49" s="82"/>
      <c r="T49" s="86" t="s">
        <v>105</v>
      </c>
      <c r="U49" s="87" t="s">
        <v>447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5"/>
    </row>
    <row r="50" spans="1:31" x14ac:dyDescent="0.25">
      <c r="A50" s="258"/>
      <c r="B50" s="263">
        <v>42205</v>
      </c>
      <c r="C50" s="258">
        <v>20</v>
      </c>
      <c r="D50" s="259">
        <v>10.56</v>
      </c>
      <c r="E50" s="259">
        <v>0</v>
      </c>
      <c r="F50" s="259">
        <f t="shared" si="4"/>
        <v>211.20000000000002</v>
      </c>
      <c r="G50" s="263">
        <v>42310</v>
      </c>
      <c r="H50" s="264">
        <v>3400</v>
      </c>
      <c r="I50" s="259">
        <v>9.1199999999999992</v>
      </c>
      <c r="J50" s="259">
        <v>7.52</v>
      </c>
      <c r="K50" s="259">
        <f t="shared" si="3"/>
        <v>31000.479999999996</v>
      </c>
      <c r="L50" s="258"/>
      <c r="M50" s="259"/>
      <c r="N50" s="258"/>
      <c r="O50" s="2"/>
      <c r="P50" s="82">
        <v>1</v>
      </c>
      <c r="Q50" s="82">
        <f t="shared" si="2"/>
        <v>37.5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5"/>
    </row>
    <row r="51" spans="1:31" x14ac:dyDescent="0.25">
      <c r="A51" s="258"/>
      <c r="B51" s="263">
        <v>42208</v>
      </c>
      <c r="C51" s="258">
        <v>32</v>
      </c>
      <c r="D51" s="259">
        <v>10.220000000000001</v>
      </c>
      <c r="E51" s="259">
        <v>0</v>
      </c>
      <c r="F51" s="259">
        <f t="shared" si="4"/>
        <v>327.04000000000002</v>
      </c>
      <c r="G51" s="263">
        <v>42314</v>
      </c>
      <c r="H51" s="264">
        <v>1400</v>
      </c>
      <c r="I51" s="259">
        <v>9.42</v>
      </c>
      <c r="J51" s="259">
        <v>0.24</v>
      </c>
      <c r="K51" s="259">
        <f t="shared" si="3"/>
        <v>13187.76</v>
      </c>
      <c r="L51" s="258"/>
      <c r="M51" s="259"/>
      <c r="N51" s="258"/>
      <c r="O51" s="2"/>
      <c r="P51" s="82">
        <v>0.99</v>
      </c>
      <c r="Q51" s="82">
        <f t="shared" si="2"/>
        <v>37.125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5"/>
    </row>
    <row r="52" spans="1:31" x14ac:dyDescent="0.25">
      <c r="A52" s="258"/>
      <c r="B52" s="263">
        <v>42230</v>
      </c>
      <c r="C52" s="258">
        <v>100</v>
      </c>
      <c r="D52" s="259">
        <v>9.58</v>
      </c>
      <c r="E52" s="259">
        <v>0</v>
      </c>
      <c r="F52" s="259">
        <f t="shared" si="4"/>
        <v>958</v>
      </c>
      <c r="G52" s="263">
        <v>42331</v>
      </c>
      <c r="H52" s="264">
        <v>1400</v>
      </c>
      <c r="I52" s="259">
        <v>8.41</v>
      </c>
      <c r="J52" s="259">
        <v>0.22</v>
      </c>
      <c r="K52" s="259">
        <f t="shared" si="3"/>
        <v>11773.78</v>
      </c>
      <c r="L52" s="259"/>
      <c r="M52" s="259"/>
      <c r="N52" s="258"/>
      <c r="O52" s="2"/>
      <c r="P52" s="82">
        <v>0.98</v>
      </c>
      <c r="Q52" s="82">
        <f t="shared" si="2"/>
        <v>36.75</v>
      </c>
      <c r="R52" s="82"/>
      <c r="T52" s="86" t="s">
        <v>107</v>
      </c>
      <c r="U52" s="87" t="s">
        <v>688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5"/>
    </row>
    <row r="53" spans="1:31" x14ac:dyDescent="0.25">
      <c r="A53" s="258"/>
      <c r="B53" s="263">
        <v>42233</v>
      </c>
      <c r="C53" s="258">
        <v>150</v>
      </c>
      <c r="D53" s="259">
        <v>9.3000000000000007</v>
      </c>
      <c r="E53" s="259">
        <v>0</v>
      </c>
      <c r="F53" s="259">
        <f t="shared" si="4"/>
        <v>1395</v>
      </c>
      <c r="G53" s="263">
        <v>42331</v>
      </c>
      <c r="H53" s="264">
        <v>65</v>
      </c>
      <c r="I53" s="259">
        <v>8.41</v>
      </c>
      <c r="J53" s="259">
        <v>0.01</v>
      </c>
      <c r="K53" s="259">
        <f t="shared" si="3"/>
        <v>546.64</v>
      </c>
      <c r="L53" s="258"/>
      <c r="M53" s="258"/>
      <c r="N53" s="258"/>
      <c r="O53" s="2"/>
      <c r="P53" s="82">
        <v>0.97</v>
      </c>
      <c r="Q53" s="82">
        <f t="shared" si="2"/>
        <v>36.375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5"/>
    </row>
    <row r="54" spans="1:31" x14ac:dyDescent="0.25">
      <c r="A54" s="258"/>
      <c r="B54" s="263">
        <v>42240</v>
      </c>
      <c r="C54" s="258">
        <v>200</v>
      </c>
      <c r="D54" s="259">
        <v>9.2100000000000009</v>
      </c>
      <c r="E54" s="259">
        <v>0</v>
      </c>
      <c r="F54" s="259">
        <f t="shared" si="4"/>
        <v>1842.0000000000002</v>
      </c>
      <c r="G54" s="263">
        <v>42332</v>
      </c>
      <c r="H54" s="264">
        <v>2235</v>
      </c>
      <c r="I54" s="259">
        <v>8.5</v>
      </c>
      <c r="J54" s="259">
        <v>0.35</v>
      </c>
      <c r="K54" s="259">
        <f t="shared" si="3"/>
        <v>18997.150000000001</v>
      </c>
      <c r="L54" s="258"/>
      <c r="M54" s="258"/>
      <c r="N54" s="258"/>
      <c r="O54" s="2"/>
      <c r="P54" s="82">
        <v>0.96</v>
      </c>
      <c r="Q54" s="82">
        <f t="shared" si="2"/>
        <v>36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5"/>
    </row>
    <row r="55" spans="1:31" x14ac:dyDescent="0.25">
      <c r="A55" s="258"/>
      <c r="B55" s="263">
        <v>42272</v>
      </c>
      <c r="C55" s="258">
        <v>100</v>
      </c>
      <c r="D55" s="259">
        <v>9.4499999999999993</v>
      </c>
      <c r="E55" s="259">
        <v>0</v>
      </c>
      <c r="F55" s="259">
        <f t="shared" si="4"/>
        <v>944.99999999999989</v>
      </c>
      <c r="G55" s="263">
        <v>42332</v>
      </c>
      <c r="H55" s="264">
        <v>600</v>
      </c>
      <c r="I55" s="259">
        <v>8.75</v>
      </c>
      <c r="J55" s="259">
        <v>0.1</v>
      </c>
      <c r="K55" s="259">
        <f t="shared" si="3"/>
        <v>5249.9</v>
      </c>
      <c r="L55" s="258"/>
      <c r="M55" s="258"/>
      <c r="N55" s="258"/>
      <c r="O55" s="2"/>
      <c r="P55" s="82">
        <v>0.95</v>
      </c>
      <c r="Q55" s="82">
        <f t="shared" si="2"/>
        <v>35.625</v>
      </c>
      <c r="R55" s="82"/>
      <c r="T55" s="86" t="s">
        <v>108</v>
      </c>
      <c r="U55" s="87" t="s">
        <v>545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5"/>
    </row>
    <row r="56" spans="1:31" x14ac:dyDescent="0.25">
      <c r="A56" s="258"/>
      <c r="B56" s="263">
        <v>42275</v>
      </c>
      <c r="C56" s="258">
        <v>100</v>
      </c>
      <c r="D56" s="259">
        <v>9.3000000000000007</v>
      </c>
      <c r="E56" s="259">
        <v>0</v>
      </c>
      <c r="F56" s="259">
        <f t="shared" si="4"/>
        <v>930.00000000000011</v>
      </c>
      <c r="G56" s="263">
        <v>42335</v>
      </c>
      <c r="H56" s="264">
        <v>500</v>
      </c>
      <c r="I56" s="259">
        <v>9.1</v>
      </c>
      <c r="J56" s="259">
        <v>0.08</v>
      </c>
      <c r="K56" s="259">
        <f t="shared" si="3"/>
        <v>4549.92</v>
      </c>
      <c r="L56" s="258"/>
      <c r="M56" s="258"/>
      <c r="N56" s="258"/>
      <c r="O56" s="2"/>
      <c r="P56" s="82">
        <v>0.94</v>
      </c>
      <c r="Q56" s="82">
        <f t="shared" si="2"/>
        <v>35.25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5"/>
    </row>
    <row r="57" spans="1:31" x14ac:dyDescent="0.25">
      <c r="A57" s="258"/>
      <c r="B57" s="263">
        <v>42290</v>
      </c>
      <c r="C57" s="258">
        <v>400</v>
      </c>
      <c r="D57" s="259">
        <v>10.79</v>
      </c>
      <c r="E57" s="259">
        <v>0</v>
      </c>
      <c r="F57" s="259">
        <f t="shared" si="4"/>
        <v>4316</v>
      </c>
      <c r="G57" s="263">
        <v>42339</v>
      </c>
      <c r="H57" s="264">
        <v>400</v>
      </c>
      <c r="I57" s="259">
        <v>9.35</v>
      </c>
      <c r="J57" s="259">
        <v>7.0000000000000007E-2</v>
      </c>
      <c r="K57" s="259">
        <f t="shared" si="3"/>
        <v>3739.93</v>
      </c>
      <c r="L57" s="258"/>
      <c r="M57" s="258"/>
      <c r="N57" s="258"/>
      <c r="O57" s="2"/>
      <c r="P57" s="82">
        <v>0.93</v>
      </c>
      <c r="Q57" s="82">
        <f t="shared" si="2"/>
        <v>34.875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5"/>
    </row>
    <row r="58" spans="1:31" x14ac:dyDescent="0.25">
      <c r="A58" s="258"/>
      <c r="B58" s="263">
        <v>42291</v>
      </c>
      <c r="C58" s="258">
        <v>150</v>
      </c>
      <c r="D58" s="259">
        <v>10.46</v>
      </c>
      <c r="E58" s="259">
        <v>0</v>
      </c>
      <c r="F58" s="259">
        <f t="shared" si="4"/>
        <v>1569.0000000000002</v>
      </c>
      <c r="G58" s="263">
        <v>42342</v>
      </c>
      <c r="H58" s="264">
        <v>500</v>
      </c>
      <c r="I58" s="259">
        <v>9.52</v>
      </c>
      <c r="J58" s="259">
        <v>0.09</v>
      </c>
      <c r="K58" s="259">
        <f t="shared" si="3"/>
        <v>4759.91</v>
      </c>
      <c r="L58" s="258"/>
      <c r="M58" s="258"/>
      <c r="N58" s="258"/>
      <c r="O58" s="2"/>
      <c r="P58" s="82">
        <v>0.92</v>
      </c>
      <c r="Q58" s="82">
        <f t="shared" si="2"/>
        <v>34.5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5"/>
    </row>
    <row r="59" spans="1:31" x14ac:dyDescent="0.25">
      <c r="A59" s="258"/>
      <c r="B59" s="263">
        <v>42292</v>
      </c>
      <c r="C59" s="258">
        <v>150</v>
      </c>
      <c r="D59" s="259">
        <v>10.3</v>
      </c>
      <c r="E59" s="259">
        <v>0</v>
      </c>
      <c r="F59" s="259">
        <f t="shared" si="4"/>
        <v>1545</v>
      </c>
      <c r="G59" s="263">
        <v>42347</v>
      </c>
      <c r="H59" s="264">
        <v>1500</v>
      </c>
      <c r="I59" s="259">
        <v>9.31</v>
      </c>
      <c r="J59" s="259">
        <v>0.26</v>
      </c>
      <c r="K59" s="259">
        <f t="shared" si="3"/>
        <v>13964.74</v>
      </c>
      <c r="L59" s="258"/>
      <c r="M59" s="258"/>
      <c r="N59" s="258"/>
      <c r="O59" s="2"/>
      <c r="P59" s="82">
        <v>0.91</v>
      </c>
      <c r="Q59" s="82">
        <f t="shared" si="2"/>
        <v>34.125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5"/>
    </row>
    <row r="60" spans="1:31" x14ac:dyDescent="0.25">
      <c r="A60" s="258"/>
      <c r="B60" s="263">
        <v>42297</v>
      </c>
      <c r="C60" s="264">
        <v>200</v>
      </c>
      <c r="D60" s="259">
        <v>9.8000000000000007</v>
      </c>
      <c r="E60" s="259">
        <v>0</v>
      </c>
      <c r="F60" s="259">
        <f t="shared" si="4"/>
        <v>1960.0000000000002</v>
      </c>
      <c r="G60" s="263">
        <v>42353</v>
      </c>
      <c r="H60" s="264">
        <v>200</v>
      </c>
      <c r="I60" s="259">
        <v>9.2899999999999991</v>
      </c>
      <c r="J60" s="259">
        <v>0.03</v>
      </c>
      <c r="K60" s="259">
        <f t="shared" si="3"/>
        <v>1857.9699999999998</v>
      </c>
      <c r="L60" s="258"/>
      <c r="M60" s="258"/>
      <c r="N60" s="258"/>
      <c r="O60" s="2"/>
      <c r="P60" s="82">
        <v>0.9</v>
      </c>
      <c r="Q60" s="82">
        <f t="shared" si="2"/>
        <v>33.75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5"/>
    </row>
    <row r="61" spans="1:31" x14ac:dyDescent="0.25">
      <c r="A61" s="258"/>
      <c r="B61" s="263">
        <v>42297</v>
      </c>
      <c r="C61" s="264">
        <v>900</v>
      </c>
      <c r="D61" s="259">
        <v>9.74</v>
      </c>
      <c r="E61" s="259">
        <v>0</v>
      </c>
      <c r="F61" s="259">
        <f t="shared" si="4"/>
        <v>8766</v>
      </c>
      <c r="G61" s="263">
        <v>42354</v>
      </c>
      <c r="H61" s="264">
        <v>500</v>
      </c>
      <c r="I61" s="259">
        <v>8.93</v>
      </c>
      <c r="J61" s="259">
        <v>0.08</v>
      </c>
      <c r="K61" s="259">
        <f t="shared" si="3"/>
        <v>4464.92</v>
      </c>
      <c r="L61" s="258"/>
      <c r="M61" s="258"/>
      <c r="N61" s="258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5"/>
    </row>
    <row r="62" spans="1:31" x14ac:dyDescent="0.25">
      <c r="A62" s="258"/>
      <c r="B62" s="263">
        <v>42299</v>
      </c>
      <c r="C62" s="258">
        <v>1000</v>
      </c>
      <c r="D62" s="259">
        <v>9.3800000000000008</v>
      </c>
      <c r="E62" s="259">
        <v>0</v>
      </c>
      <c r="F62" s="259">
        <f t="shared" si="4"/>
        <v>9380</v>
      </c>
      <c r="G62" s="263">
        <v>42366</v>
      </c>
      <c r="H62" s="264">
        <v>2000</v>
      </c>
      <c r="I62" s="259">
        <v>9.4499999999999993</v>
      </c>
      <c r="J62" s="259">
        <v>0.35</v>
      </c>
      <c r="K62" s="259">
        <f t="shared" si="3"/>
        <v>18899.650000000001</v>
      </c>
      <c r="L62" s="258"/>
      <c r="M62" s="258"/>
      <c r="N62" s="258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5"/>
    </row>
    <row r="63" spans="1:31" x14ac:dyDescent="0.25">
      <c r="A63" s="258"/>
      <c r="B63" s="263">
        <v>42303</v>
      </c>
      <c r="C63" s="258">
        <v>400</v>
      </c>
      <c r="D63" s="259">
        <v>9.1999999999999993</v>
      </c>
      <c r="E63" s="259">
        <v>0</v>
      </c>
      <c r="F63" s="259">
        <f t="shared" si="4"/>
        <v>3679.9999999999995</v>
      </c>
      <c r="G63" s="263">
        <v>42367</v>
      </c>
      <c r="H63" s="264">
        <v>1000</v>
      </c>
      <c r="I63" s="259">
        <v>9.89</v>
      </c>
      <c r="J63" s="259">
        <v>0.18</v>
      </c>
      <c r="K63" s="259">
        <f t="shared" si="3"/>
        <v>9889.82</v>
      </c>
      <c r="L63" s="258"/>
      <c r="M63" s="258"/>
      <c r="N63" s="258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5"/>
    </row>
    <row r="64" spans="1:31" x14ac:dyDescent="0.25">
      <c r="A64" s="258"/>
      <c r="B64" s="278">
        <v>42304</v>
      </c>
      <c r="C64" s="258">
        <v>900</v>
      </c>
      <c r="D64" s="259">
        <v>9.32</v>
      </c>
      <c r="E64" s="259">
        <v>0</v>
      </c>
      <c r="F64" s="259">
        <f t="shared" si="4"/>
        <v>8388</v>
      </c>
      <c r="G64" s="263">
        <v>42398</v>
      </c>
      <c r="H64" s="264">
        <v>100</v>
      </c>
      <c r="I64" s="259">
        <v>7.21</v>
      </c>
      <c r="J64" s="259">
        <v>0.01</v>
      </c>
      <c r="K64" s="259">
        <f t="shared" si="3"/>
        <v>720.99</v>
      </c>
      <c r="L64" s="258"/>
      <c r="M64" s="258"/>
      <c r="N64" s="258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5"/>
    </row>
    <row r="65" spans="1:31" x14ac:dyDescent="0.25">
      <c r="A65" s="258"/>
      <c r="B65" s="278"/>
      <c r="C65" s="258">
        <v>500</v>
      </c>
      <c r="D65" s="259">
        <v>9.32</v>
      </c>
      <c r="E65" s="259">
        <v>0</v>
      </c>
      <c r="F65" s="259">
        <f t="shared" si="4"/>
        <v>4660</v>
      </c>
      <c r="G65" s="263">
        <v>42403</v>
      </c>
      <c r="H65" s="264">
        <v>100</v>
      </c>
      <c r="I65" s="259">
        <v>7.42</v>
      </c>
      <c r="J65" s="259">
        <v>0.01</v>
      </c>
      <c r="K65" s="259">
        <f t="shared" si="3"/>
        <v>741.99</v>
      </c>
      <c r="L65" s="259"/>
      <c r="M65" s="258"/>
      <c r="N65" s="258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5"/>
    </row>
    <row r="66" spans="1:31" x14ac:dyDescent="0.25">
      <c r="A66" s="258"/>
      <c r="B66" s="263">
        <v>42306</v>
      </c>
      <c r="C66" s="258">
        <v>300</v>
      </c>
      <c r="D66" s="259">
        <v>8.7200000000000006</v>
      </c>
      <c r="E66" s="259">
        <v>6.95</v>
      </c>
      <c r="F66" s="259">
        <f t="shared" si="4"/>
        <v>2622.95</v>
      </c>
      <c r="G66" s="263">
        <v>42404</v>
      </c>
      <c r="H66" s="264">
        <v>100</v>
      </c>
      <c r="I66" s="259">
        <v>8.02</v>
      </c>
      <c r="J66" s="259">
        <v>0.01</v>
      </c>
      <c r="K66" s="259">
        <f t="shared" si="3"/>
        <v>801.99</v>
      </c>
      <c r="L66" s="258"/>
      <c r="M66" s="258"/>
      <c r="N66" s="258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5"/>
    </row>
    <row r="67" spans="1:31" x14ac:dyDescent="0.25">
      <c r="A67" s="258"/>
      <c r="B67" s="263">
        <v>42310</v>
      </c>
      <c r="C67" s="258">
        <v>3400</v>
      </c>
      <c r="D67" s="259">
        <v>9.0299999999999994</v>
      </c>
      <c r="E67" s="259">
        <v>6.95</v>
      </c>
      <c r="F67" s="259">
        <f t="shared" si="4"/>
        <v>30708.949999999997</v>
      </c>
      <c r="G67" s="263">
        <v>42416</v>
      </c>
      <c r="H67" s="264">
        <v>300</v>
      </c>
      <c r="I67" s="259">
        <v>7.98</v>
      </c>
      <c r="J67" s="259">
        <v>0.05</v>
      </c>
      <c r="K67" s="259">
        <f t="shared" si="3"/>
        <v>2393.9499999999998</v>
      </c>
      <c r="L67" s="258"/>
      <c r="M67" s="258"/>
      <c r="N67" s="258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5"/>
    </row>
    <row r="68" spans="1:31" x14ac:dyDescent="0.25">
      <c r="A68" s="258"/>
      <c r="B68" s="263">
        <v>42314</v>
      </c>
      <c r="C68" s="258">
        <v>1400</v>
      </c>
      <c r="D68" s="259">
        <v>9.35</v>
      </c>
      <c r="E68" s="259">
        <v>0</v>
      </c>
      <c r="F68" s="259">
        <f t="shared" si="4"/>
        <v>13090</v>
      </c>
      <c r="G68" s="263">
        <v>42444</v>
      </c>
      <c r="H68" s="258">
        <v>200</v>
      </c>
      <c r="I68" s="259">
        <v>9.49</v>
      </c>
      <c r="J68" s="259">
        <v>0.04</v>
      </c>
      <c r="K68" s="259">
        <v>1897.96</v>
      </c>
      <c r="L68" s="258"/>
      <c r="M68" s="258"/>
      <c r="N68" s="258"/>
      <c r="W68" s="93" t="s">
        <v>120</v>
      </c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263">
        <v>42324</v>
      </c>
      <c r="C69" s="272">
        <v>3700</v>
      </c>
      <c r="D69" s="259">
        <v>8.2899999999999991</v>
      </c>
      <c r="E69" s="259">
        <v>0</v>
      </c>
      <c r="F69" s="259">
        <f t="shared" si="4"/>
        <v>30672.999999999996</v>
      </c>
      <c r="G69" s="263"/>
      <c r="H69" s="264"/>
      <c r="I69" s="259"/>
      <c r="J69" s="259"/>
      <c r="K69" s="259"/>
      <c r="L69" s="258"/>
      <c r="M69" s="258"/>
      <c r="N69" s="258"/>
      <c r="AD69" s="2"/>
      <c r="AE69" s="135"/>
    </row>
    <row r="70" spans="1:31" x14ac:dyDescent="0.25">
      <c r="A70" s="258"/>
      <c r="B70" s="263">
        <v>42324</v>
      </c>
      <c r="C70" s="272">
        <v>600</v>
      </c>
      <c r="D70" s="259">
        <v>8.14</v>
      </c>
      <c r="E70" s="259">
        <v>0</v>
      </c>
      <c r="F70" s="259">
        <f t="shared" si="4"/>
        <v>4884</v>
      </c>
      <c r="G70" s="263"/>
      <c r="H70" s="264"/>
      <c r="I70" s="259"/>
      <c r="J70" s="259"/>
      <c r="K70" s="259"/>
      <c r="L70" s="258"/>
      <c r="M70" s="258"/>
      <c r="N70" s="258"/>
    </row>
    <row r="71" spans="1:31" x14ac:dyDescent="0.25">
      <c r="A71" s="258"/>
      <c r="B71" s="263">
        <v>42335</v>
      </c>
      <c r="C71" s="258">
        <v>500</v>
      </c>
      <c r="D71" s="259">
        <v>9.06</v>
      </c>
      <c r="E71" s="259">
        <v>0</v>
      </c>
      <c r="F71" s="259">
        <f t="shared" si="4"/>
        <v>4530</v>
      </c>
      <c r="G71" s="258"/>
      <c r="H71" s="264"/>
      <c r="I71" s="259"/>
      <c r="J71" s="259"/>
      <c r="K71" s="259"/>
      <c r="L71" s="258"/>
      <c r="M71" s="258"/>
      <c r="N71" s="258"/>
    </row>
    <row r="72" spans="1:31" x14ac:dyDescent="0.25">
      <c r="A72" s="258"/>
      <c r="B72" s="263">
        <v>42345</v>
      </c>
      <c r="C72" s="258">
        <v>200</v>
      </c>
      <c r="D72" s="259">
        <v>9.35</v>
      </c>
      <c r="E72" s="259">
        <v>0</v>
      </c>
      <c r="F72" s="259">
        <f t="shared" si="4"/>
        <v>1870</v>
      </c>
      <c r="G72" s="258"/>
      <c r="H72" s="264"/>
      <c r="I72" s="259"/>
      <c r="J72" s="259"/>
      <c r="K72" s="259"/>
      <c r="L72" s="258"/>
      <c r="M72" s="258"/>
      <c r="N72" s="258"/>
    </row>
    <row r="73" spans="1:31" x14ac:dyDescent="0.25">
      <c r="A73" s="258"/>
      <c r="B73" s="263">
        <v>42347</v>
      </c>
      <c r="C73" s="258">
        <v>1500</v>
      </c>
      <c r="D73" s="259">
        <v>9.2759999999999998</v>
      </c>
      <c r="E73" s="259">
        <v>0</v>
      </c>
      <c r="F73" s="259">
        <f t="shared" si="4"/>
        <v>13914</v>
      </c>
      <c r="G73" s="258"/>
      <c r="H73" s="264"/>
      <c r="I73" s="259"/>
      <c r="J73" s="259"/>
      <c r="K73" s="259"/>
      <c r="L73" s="258"/>
      <c r="M73" s="258"/>
      <c r="N73" s="258"/>
    </row>
    <row r="74" spans="1:31" x14ac:dyDescent="0.25">
      <c r="A74" s="258"/>
      <c r="B74" s="263">
        <v>42348</v>
      </c>
      <c r="C74" s="258">
        <v>100</v>
      </c>
      <c r="D74" s="259">
        <v>8.9499999999999993</v>
      </c>
      <c r="E74" s="259">
        <v>0</v>
      </c>
      <c r="F74" s="259">
        <f t="shared" si="4"/>
        <v>894.99999999999989</v>
      </c>
      <c r="G74" s="258"/>
      <c r="H74" s="264"/>
      <c r="I74" s="259"/>
      <c r="J74" s="259"/>
      <c r="K74" s="259"/>
      <c r="L74" s="258"/>
      <c r="M74" s="258"/>
      <c r="N74" s="258"/>
    </row>
    <row r="75" spans="1:31" x14ac:dyDescent="0.25">
      <c r="A75" s="258"/>
      <c r="B75" s="263">
        <v>42353</v>
      </c>
      <c r="C75" s="258">
        <v>100</v>
      </c>
      <c r="D75" s="259">
        <v>9.2200000000000006</v>
      </c>
      <c r="E75" s="259">
        <v>0</v>
      </c>
      <c r="F75" s="259">
        <f t="shared" si="4"/>
        <v>922.00000000000011</v>
      </c>
      <c r="G75" s="258"/>
      <c r="H75" s="264"/>
      <c r="I75" s="259"/>
      <c r="J75" s="259"/>
      <c r="K75" s="259"/>
      <c r="L75" s="258"/>
      <c r="M75" s="258"/>
      <c r="N75" s="258"/>
    </row>
    <row r="76" spans="1:31" x14ac:dyDescent="0.25">
      <c r="A76" s="258"/>
      <c r="B76" s="263">
        <v>42354</v>
      </c>
      <c r="C76" s="258">
        <v>500</v>
      </c>
      <c r="D76" s="259">
        <v>8.85</v>
      </c>
      <c r="E76" s="259">
        <v>0</v>
      </c>
      <c r="F76" s="259">
        <f t="shared" si="4"/>
        <v>4425</v>
      </c>
      <c r="G76" s="258"/>
      <c r="H76" s="264"/>
      <c r="I76" s="259"/>
      <c r="J76" s="259"/>
      <c r="K76" s="259"/>
      <c r="L76" s="258"/>
      <c r="M76" s="258"/>
      <c r="N76" s="258"/>
    </row>
    <row r="77" spans="1:31" x14ac:dyDescent="0.25">
      <c r="A77" s="258"/>
      <c r="B77" s="263">
        <v>42377</v>
      </c>
      <c r="C77" s="258">
        <v>400</v>
      </c>
      <c r="D77" s="259">
        <v>8.0399999999999991</v>
      </c>
      <c r="E77" s="259">
        <v>0</v>
      </c>
      <c r="F77" s="259">
        <f t="shared" si="4"/>
        <v>3215.9999999999995</v>
      </c>
      <c r="G77" s="258"/>
      <c r="H77" s="258"/>
      <c r="I77" s="259"/>
      <c r="J77" s="259"/>
      <c r="K77" s="259"/>
      <c r="L77" s="258"/>
      <c r="M77" s="258"/>
      <c r="N77" s="258"/>
    </row>
    <row r="78" spans="1:31" x14ac:dyDescent="0.25">
      <c r="A78" s="258"/>
      <c r="B78" s="263">
        <v>42389</v>
      </c>
      <c r="C78" s="258">
        <v>100</v>
      </c>
      <c r="D78" s="259">
        <v>6.45</v>
      </c>
      <c r="E78" s="259">
        <v>0</v>
      </c>
      <c r="F78" s="259">
        <f t="shared" si="4"/>
        <v>645</v>
      </c>
      <c r="G78" s="258"/>
      <c r="H78" s="258"/>
      <c r="I78" s="259"/>
      <c r="J78" s="259"/>
      <c r="K78" s="259"/>
      <c r="L78" s="258"/>
      <c r="M78" s="258"/>
      <c r="N78" s="258"/>
    </row>
    <row r="79" spans="1:31" x14ac:dyDescent="0.25">
      <c r="A79" s="258"/>
      <c r="B79" s="263">
        <v>42402</v>
      </c>
      <c r="C79" s="258">
        <v>100</v>
      </c>
      <c r="D79" s="259">
        <v>6.95</v>
      </c>
      <c r="E79" s="259">
        <v>0</v>
      </c>
      <c r="F79" s="259">
        <f t="shared" si="4"/>
        <v>695</v>
      </c>
      <c r="G79" s="258"/>
      <c r="H79" s="258"/>
      <c r="I79" s="259"/>
      <c r="J79" s="259"/>
      <c r="K79" s="259"/>
      <c r="L79" s="258"/>
      <c r="M79" s="258"/>
      <c r="N79" s="258"/>
    </row>
    <row r="80" spans="1:31" x14ac:dyDescent="0.25">
      <c r="A80" s="258"/>
      <c r="B80" s="263">
        <v>42444</v>
      </c>
      <c r="C80" s="258">
        <v>200</v>
      </c>
      <c r="D80" s="259">
        <v>9.4499999999999993</v>
      </c>
      <c r="E80" s="259">
        <v>0</v>
      </c>
      <c r="F80" s="259">
        <v>1889.9999999999998</v>
      </c>
      <c r="G80" s="258"/>
      <c r="H80" s="258"/>
      <c r="I80" s="259"/>
      <c r="J80" s="259"/>
      <c r="K80" s="259"/>
      <c r="L80" s="258"/>
      <c r="M80" s="258"/>
      <c r="N80" s="258"/>
    </row>
    <row r="81" spans="1:14" x14ac:dyDescent="0.25">
      <c r="A81" s="376"/>
      <c r="B81" s="376"/>
      <c r="C81" s="376"/>
      <c r="D81" s="377"/>
      <c r="E81" s="377"/>
      <c r="F81" s="377"/>
      <c r="G81" s="376"/>
      <c r="H81" s="376"/>
      <c r="I81" s="377"/>
      <c r="J81" s="377"/>
      <c r="K81" s="377"/>
      <c r="L81" s="376"/>
      <c r="M81" s="376"/>
      <c r="N81" s="376"/>
    </row>
    <row r="82" spans="1:14" x14ac:dyDescent="0.25">
      <c r="A82" s="376"/>
      <c r="B82" s="375">
        <v>42545</v>
      </c>
      <c r="C82" s="376">
        <v>250</v>
      </c>
      <c r="D82" s="377">
        <v>9.36</v>
      </c>
      <c r="E82" s="377">
        <v>0</v>
      </c>
      <c r="F82" s="377">
        <f>D82*C82+E82</f>
        <v>2340</v>
      </c>
      <c r="G82" s="376">
        <v>42577</v>
      </c>
      <c r="H82" s="380">
        <v>150</v>
      </c>
      <c r="I82" s="377">
        <v>10.58</v>
      </c>
      <c r="J82" s="377">
        <v>0.03</v>
      </c>
      <c r="K82" s="377">
        <f>H82*I82-J82</f>
        <v>1586.97</v>
      </c>
      <c r="L82" s="376"/>
      <c r="M82" s="376"/>
      <c r="N82" s="376"/>
    </row>
    <row r="83" spans="1:14" x14ac:dyDescent="0.25">
      <c r="A83" s="376"/>
      <c r="B83" s="375"/>
      <c r="C83" s="376"/>
      <c r="D83" s="377"/>
      <c r="E83" s="377"/>
      <c r="F83" s="377"/>
      <c r="G83" s="376">
        <v>42577</v>
      </c>
      <c r="H83" s="380">
        <v>100</v>
      </c>
      <c r="I83" s="377">
        <v>10.65</v>
      </c>
      <c r="J83" s="377">
        <v>0.02</v>
      </c>
      <c r="K83" s="377">
        <f>H83*I83-J83</f>
        <v>1064.98</v>
      </c>
      <c r="L83" s="376"/>
      <c r="M83" s="376"/>
      <c r="N83" s="376"/>
    </row>
    <row r="84" spans="1:14" x14ac:dyDescent="0.25">
      <c r="A84" s="376"/>
      <c r="B84" s="376"/>
      <c r="C84" s="376"/>
      <c r="D84" s="377"/>
      <c r="E84" s="377"/>
      <c r="F84" s="377"/>
      <c r="G84" s="376"/>
      <c r="H84" s="376"/>
      <c r="I84" s="377"/>
      <c r="J84" s="377"/>
      <c r="K84" s="377"/>
      <c r="L84" s="376"/>
      <c r="M84" s="376"/>
      <c r="N84" s="376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8"/>
    </row>
    <row r="86" spans="1:14" x14ac:dyDescent="0.25">
      <c r="A86" s="258"/>
      <c r="B86" s="258"/>
      <c r="C86" s="258"/>
      <c r="D86" s="259"/>
      <c r="E86" s="259"/>
      <c r="F86" s="259"/>
      <c r="G86" s="258"/>
      <c r="H86" s="258"/>
      <c r="I86" s="259"/>
      <c r="J86" s="259"/>
      <c r="K86" s="259"/>
      <c r="L86" s="258"/>
      <c r="M86" s="258"/>
      <c r="N86" s="258"/>
    </row>
    <row r="87" spans="1:14" x14ac:dyDescent="0.25">
      <c r="A87" s="258"/>
      <c r="B87" s="258"/>
      <c r="C87" s="258"/>
      <c r="D87" s="259"/>
      <c r="E87" s="259"/>
      <c r="F87" s="259"/>
      <c r="G87" s="258"/>
      <c r="H87" s="258"/>
      <c r="I87" s="259"/>
      <c r="J87" s="259"/>
      <c r="K87" s="259"/>
      <c r="L87" s="258"/>
      <c r="M87" s="258"/>
      <c r="N87" s="258"/>
    </row>
    <row r="88" spans="1:14" x14ac:dyDescent="0.25">
      <c r="A88" s="258"/>
      <c r="B88" s="266" t="s">
        <v>113</v>
      </c>
      <c r="C88" s="266" t="s">
        <v>146</v>
      </c>
      <c r="D88" s="267" t="s">
        <v>145</v>
      </c>
      <c r="E88" s="268" t="s">
        <v>147</v>
      </c>
      <c r="F88" s="268" t="s">
        <v>65</v>
      </c>
      <c r="G88" s="270" t="s">
        <v>151</v>
      </c>
      <c r="H88" s="270" t="s">
        <v>88</v>
      </c>
      <c r="I88" s="270" t="s">
        <v>154</v>
      </c>
      <c r="J88" s="259"/>
      <c r="K88" s="259"/>
      <c r="L88" s="258"/>
      <c r="M88" s="258"/>
      <c r="N88" s="258"/>
    </row>
    <row r="89" spans="1:14" x14ac:dyDescent="0.25">
      <c r="A89" s="258"/>
      <c r="B89" s="263">
        <v>42304</v>
      </c>
      <c r="C89" s="258">
        <v>3700</v>
      </c>
      <c r="D89" s="259">
        <v>9.84</v>
      </c>
      <c r="E89" s="259">
        <v>8.73</v>
      </c>
      <c r="F89" s="259">
        <f>C89*(E89-D89)</f>
        <v>-4106.9999999999982</v>
      </c>
      <c r="G89" s="259">
        <f>D89*C89</f>
        <v>36408</v>
      </c>
      <c r="H89" s="273">
        <f>(E89-D89)/D89</f>
        <v>-0.11280487804878044</v>
      </c>
      <c r="I89" s="259"/>
      <c r="J89" s="259"/>
      <c r="K89" s="259"/>
      <c r="L89" s="258"/>
      <c r="M89" s="258"/>
      <c r="N89" s="258"/>
    </row>
    <row r="90" spans="1:14" x14ac:dyDescent="0.25">
      <c r="A90" s="258"/>
      <c r="B90" s="263">
        <v>42305</v>
      </c>
      <c r="C90" s="258">
        <v>3700</v>
      </c>
      <c r="D90" s="259">
        <v>9.76</v>
      </c>
      <c r="E90" s="259">
        <v>8.99</v>
      </c>
      <c r="F90" s="259">
        <f t="shared" ref="F90:F107" si="5">C90*(E90-D90)</f>
        <v>-2848.9999999999986</v>
      </c>
      <c r="G90" s="259">
        <f t="shared" ref="G90:G107" si="6">D90*C90</f>
        <v>36112</v>
      </c>
      <c r="H90" s="273">
        <f t="shared" ref="H90:H96" si="7">(E90-D90)/D90</f>
        <v>-7.8893442622950782E-2</v>
      </c>
      <c r="I90" s="259"/>
      <c r="J90" s="259"/>
      <c r="K90" s="259"/>
      <c r="L90" s="258"/>
      <c r="M90" s="258"/>
      <c r="N90" s="258"/>
    </row>
    <row r="91" spans="1:14" x14ac:dyDescent="0.25">
      <c r="A91" s="258"/>
      <c r="B91" s="263">
        <v>42311</v>
      </c>
      <c r="C91" s="258">
        <v>3700</v>
      </c>
      <c r="D91" s="259">
        <v>9.73</v>
      </c>
      <c r="E91" s="259">
        <v>9.3800000000000008</v>
      </c>
      <c r="F91" s="259">
        <f t="shared" si="5"/>
        <v>-1294.9999999999986</v>
      </c>
      <c r="G91" s="259">
        <f t="shared" si="6"/>
        <v>36001</v>
      </c>
      <c r="H91" s="273">
        <f t="shared" si="7"/>
        <v>-3.5971223021582698E-2</v>
      </c>
      <c r="I91" s="259"/>
      <c r="J91" s="259"/>
      <c r="K91" s="259"/>
      <c r="L91" s="258"/>
      <c r="M91" s="258"/>
      <c r="N91" s="258"/>
    </row>
    <row r="92" spans="1:14" x14ac:dyDescent="0.25">
      <c r="A92" s="258"/>
      <c r="B92" s="263">
        <v>42320</v>
      </c>
      <c r="C92" s="258">
        <v>7400</v>
      </c>
      <c r="D92" s="259">
        <v>9.01</v>
      </c>
      <c r="E92" s="259">
        <v>7.82</v>
      </c>
      <c r="F92" s="259">
        <f t="shared" si="5"/>
        <v>-8805.9999999999964</v>
      </c>
      <c r="G92" s="259">
        <f t="shared" si="6"/>
        <v>66674</v>
      </c>
      <c r="H92" s="273">
        <f t="shared" si="7"/>
        <v>-0.13207547169811315</v>
      </c>
      <c r="I92" s="259"/>
      <c r="J92" s="259"/>
      <c r="K92" s="259"/>
      <c r="L92" s="258"/>
      <c r="M92" s="258"/>
      <c r="N92" s="258"/>
    </row>
    <row r="93" spans="1:14" x14ac:dyDescent="0.25">
      <c r="A93" s="258"/>
      <c r="B93" s="263">
        <v>42320</v>
      </c>
      <c r="C93" s="258">
        <v>8000</v>
      </c>
      <c r="D93" s="259">
        <v>8.94</v>
      </c>
      <c r="E93" s="259">
        <v>7.82</v>
      </c>
      <c r="F93" s="259">
        <f t="shared" si="5"/>
        <v>-8959.9999999999945</v>
      </c>
      <c r="G93" s="259">
        <f t="shared" si="6"/>
        <v>71520</v>
      </c>
      <c r="H93" s="273">
        <f t="shared" si="7"/>
        <v>-0.12527964205816547</v>
      </c>
      <c r="I93" s="259"/>
      <c r="J93" s="259"/>
      <c r="K93" s="259"/>
      <c r="L93" s="258"/>
      <c r="M93" s="258"/>
      <c r="N93" s="258"/>
    </row>
    <row r="94" spans="1:14" x14ac:dyDescent="0.25">
      <c r="A94" s="258"/>
      <c r="B94" s="263">
        <v>42326</v>
      </c>
      <c r="C94" s="258">
        <v>6600</v>
      </c>
      <c r="D94" s="259">
        <v>9.0582999999999991</v>
      </c>
      <c r="E94" s="259">
        <v>8.41</v>
      </c>
      <c r="F94" s="259">
        <f t="shared" si="5"/>
        <v>-4278.7799999999934</v>
      </c>
      <c r="G94" s="259">
        <f t="shared" si="6"/>
        <v>59784.779999999992</v>
      </c>
      <c r="H94" s="273">
        <f t="shared" si="7"/>
        <v>-7.1569720587748145E-2</v>
      </c>
      <c r="I94" s="259"/>
      <c r="J94" s="259"/>
      <c r="K94" s="259"/>
      <c r="L94" s="258"/>
      <c r="M94" s="258"/>
      <c r="N94" s="258"/>
    </row>
    <row r="95" spans="1:14" x14ac:dyDescent="0.25">
      <c r="A95" s="258"/>
      <c r="B95" s="263">
        <v>42326</v>
      </c>
      <c r="C95" s="258">
        <v>6535</v>
      </c>
      <c r="D95" s="259">
        <v>9.0648</v>
      </c>
      <c r="E95" s="259">
        <v>8.41</v>
      </c>
      <c r="F95" s="259">
        <f t="shared" si="5"/>
        <v>-4279.1179999999986</v>
      </c>
      <c r="G95" s="259">
        <f t="shared" si="6"/>
        <v>59238.468000000001</v>
      </c>
      <c r="H95" s="273">
        <f t="shared" si="7"/>
        <v>-7.2235460241814473E-2</v>
      </c>
      <c r="I95" s="259"/>
      <c r="J95" s="259"/>
      <c r="K95" s="259"/>
      <c r="L95" s="258"/>
      <c r="M95" s="258"/>
      <c r="N95" s="258"/>
    </row>
    <row r="96" spans="1:14" x14ac:dyDescent="0.25">
      <c r="A96" s="258"/>
      <c r="B96" s="263">
        <v>42327</v>
      </c>
      <c r="C96" s="258">
        <v>4300</v>
      </c>
      <c r="D96" s="259">
        <v>9.3583999999999996</v>
      </c>
      <c r="E96" s="259">
        <v>8.76</v>
      </c>
      <c r="F96" s="259">
        <f t="shared" si="5"/>
        <v>-2573.1199999999994</v>
      </c>
      <c r="G96" s="259">
        <f t="shared" si="6"/>
        <v>40241.119999999995</v>
      </c>
      <c r="H96" s="273">
        <f t="shared" si="7"/>
        <v>-6.3942554282783365E-2</v>
      </c>
      <c r="I96" s="259"/>
      <c r="J96" s="259"/>
      <c r="K96" s="259"/>
      <c r="L96" s="258"/>
      <c r="M96" s="258"/>
      <c r="N96" s="258"/>
    </row>
    <row r="97" spans="1:14" x14ac:dyDescent="0.25">
      <c r="A97" s="258"/>
      <c r="B97" s="263">
        <v>42327</v>
      </c>
      <c r="C97" s="258">
        <v>3700</v>
      </c>
      <c r="D97" s="259">
        <v>9.4571000000000005</v>
      </c>
      <c r="E97" s="259">
        <v>8.76</v>
      </c>
      <c r="F97" s="259">
        <f t="shared" si="5"/>
        <v>-2579.2700000000027</v>
      </c>
      <c r="G97" s="259">
        <f t="shared" si="6"/>
        <v>34991.270000000004</v>
      </c>
      <c r="H97" s="273">
        <f>(E97-D97)/D97</f>
        <v>-7.371181440399284E-2</v>
      </c>
      <c r="I97" s="259"/>
      <c r="J97" s="259"/>
      <c r="K97" s="259"/>
      <c r="L97" s="258"/>
      <c r="M97" s="258"/>
      <c r="N97" s="258"/>
    </row>
    <row r="98" spans="1:14" x14ac:dyDescent="0.25">
      <c r="A98" s="258"/>
      <c r="B98" s="263">
        <v>42331</v>
      </c>
      <c r="C98" s="258">
        <v>3700</v>
      </c>
      <c r="D98" s="259">
        <v>9.4499999999999993</v>
      </c>
      <c r="E98" s="259">
        <v>9.07</v>
      </c>
      <c r="F98" s="259">
        <f t="shared" si="5"/>
        <v>-1405.9999999999964</v>
      </c>
      <c r="G98" s="259">
        <f t="shared" si="6"/>
        <v>34965</v>
      </c>
      <c r="H98" s="273">
        <f t="shared" ref="H98:H107" si="8">(E98-D98)/D98</f>
        <v>-4.0211640211640108E-2</v>
      </c>
      <c r="I98" s="259"/>
      <c r="J98" s="259"/>
      <c r="K98" s="259"/>
      <c r="L98" s="258"/>
      <c r="M98" s="258"/>
      <c r="N98" s="258"/>
    </row>
    <row r="99" spans="1:14" x14ac:dyDescent="0.25">
      <c r="A99" s="258"/>
      <c r="B99" s="263">
        <v>42333</v>
      </c>
      <c r="C99" s="258">
        <v>3300</v>
      </c>
      <c r="D99" s="259">
        <v>9.4304000000000006</v>
      </c>
      <c r="E99" s="259">
        <v>9.41</v>
      </c>
      <c r="F99" s="259">
        <f t="shared" si="5"/>
        <v>-67.320000000001386</v>
      </c>
      <c r="G99" s="259">
        <f t="shared" si="6"/>
        <v>31120.320000000003</v>
      </c>
      <c r="H99" s="273">
        <f t="shared" si="8"/>
        <v>-2.1632168306753071E-3</v>
      </c>
      <c r="I99" s="259"/>
      <c r="J99" s="259"/>
      <c r="K99" s="259"/>
      <c r="L99" s="258"/>
      <c r="M99" s="258"/>
      <c r="N99" s="258"/>
    </row>
    <row r="100" spans="1:14" x14ac:dyDescent="0.25">
      <c r="A100" s="258"/>
      <c r="B100" s="263">
        <v>42339</v>
      </c>
      <c r="C100" s="258">
        <v>2800</v>
      </c>
      <c r="D100" s="259">
        <v>9.4145000000000003</v>
      </c>
      <c r="E100" s="259">
        <v>9.48</v>
      </c>
      <c r="F100" s="259">
        <f t="shared" si="5"/>
        <v>183.40000000000032</v>
      </c>
      <c r="G100" s="259">
        <f t="shared" si="6"/>
        <v>26360.600000000002</v>
      </c>
      <c r="H100" s="273">
        <f t="shared" si="8"/>
        <v>6.9573530192787838E-3</v>
      </c>
      <c r="I100" s="259"/>
      <c r="J100" s="259"/>
      <c r="K100" s="259"/>
      <c r="L100" s="258"/>
      <c r="M100" s="258"/>
      <c r="N100" s="258"/>
    </row>
    <row r="101" spans="1:14" x14ac:dyDescent="0.25">
      <c r="A101" s="258"/>
      <c r="B101" s="263">
        <v>42340</v>
      </c>
      <c r="C101" s="258">
        <v>3000</v>
      </c>
      <c r="D101" s="259">
        <v>9.41</v>
      </c>
      <c r="E101" s="259">
        <v>9.35</v>
      </c>
      <c r="F101" s="259">
        <f t="shared" si="5"/>
        <v>-180.00000000000148</v>
      </c>
      <c r="G101" s="259">
        <f t="shared" si="6"/>
        <v>28230</v>
      </c>
      <c r="H101" s="273">
        <f t="shared" si="8"/>
        <v>-6.3761955366631769E-3</v>
      </c>
      <c r="I101" s="259"/>
      <c r="J101" s="259"/>
      <c r="K101" s="259"/>
      <c r="L101" s="258"/>
      <c r="M101" s="258"/>
      <c r="N101" s="258"/>
    </row>
    <row r="102" spans="1:14" x14ac:dyDescent="0.25">
      <c r="A102" s="258"/>
      <c r="B102" s="263">
        <v>42342</v>
      </c>
      <c r="C102" s="258">
        <v>1500</v>
      </c>
      <c r="D102" s="259">
        <v>9.51</v>
      </c>
      <c r="E102" s="259">
        <v>9.34</v>
      </c>
      <c r="F102" s="259">
        <f t="shared" si="5"/>
        <v>-254.99999999999989</v>
      </c>
      <c r="G102" s="259">
        <f t="shared" si="6"/>
        <v>14265</v>
      </c>
      <c r="H102" s="273">
        <f t="shared" si="8"/>
        <v>-1.787592008412197E-2</v>
      </c>
      <c r="I102" s="259"/>
      <c r="J102" s="259"/>
      <c r="K102" s="259"/>
      <c r="L102" s="258"/>
      <c r="M102" s="258"/>
      <c r="N102" s="258"/>
    </row>
    <row r="103" spans="1:14" x14ac:dyDescent="0.25">
      <c r="A103" s="258"/>
      <c r="B103" s="263">
        <v>42342</v>
      </c>
      <c r="C103" s="258">
        <v>3000</v>
      </c>
      <c r="D103" s="259">
        <v>9.3933</v>
      </c>
      <c r="E103" s="259">
        <v>9.34</v>
      </c>
      <c r="F103" s="259">
        <f t="shared" si="5"/>
        <v>-159.90000000000038</v>
      </c>
      <c r="G103" s="259">
        <f t="shared" si="6"/>
        <v>28179.9</v>
      </c>
      <c r="H103" s="273">
        <f t="shared" si="8"/>
        <v>-5.6742571833115225E-3</v>
      </c>
      <c r="I103" s="259"/>
      <c r="J103" s="259"/>
      <c r="K103" s="259"/>
      <c r="L103" s="258"/>
      <c r="M103" s="258"/>
      <c r="N103" s="258"/>
    </row>
    <row r="104" spans="1:14" x14ac:dyDescent="0.25">
      <c r="A104" s="258"/>
      <c r="B104" s="263">
        <v>42345</v>
      </c>
      <c r="C104" s="258">
        <v>3100</v>
      </c>
      <c r="D104" s="259">
        <v>9.3789999999999996</v>
      </c>
      <c r="E104" s="259">
        <v>9.0399999999999991</v>
      </c>
      <c r="F104" s="259">
        <f t="shared" si="5"/>
        <v>-1050.9000000000012</v>
      </c>
      <c r="G104" s="259">
        <f t="shared" si="6"/>
        <v>29074.899999999998</v>
      </c>
      <c r="H104" s="273">
        <f t="shared" si="8"/>
        <v>-3.6144578313253059E-2</v>
      </c>
      <c r="I104" s="259"/>
      <c r="J104" s="259"/>
      <c r="K104" s="259"/>
      <c r="L104" s="258"/>
      <c r="M104" s="258"/>
      <c r="N104" s="258"/>
    </row>
    <row r="105" spans="1:14" x14ac:dyDescent="0.25">
      <c r="A105" s="258"/>
      <c r="B105" s="263">
        <v>42348</v>
      </c>
      <c r="C105" s="258">
        <v>3000</v>
      </c>
      <c r="D105" s="259">
        <v>9.3800000000000008</v>
      </c>
      <c r="E105" s="259">
        <v>9.17</v>
      </c>
      <c r="F105" s="259">
        <f t="shared" si="5"/>
        <v>-630.0000000000025</v>
      </c>
      <c r="G105" s="259">
        <f t="shared" si="6"/>
        <v>28140.000000000004</v>
      </c>
      <c r="H105" s="273">
        <f t="shared" si="8"/>
        <v>-2.2388059701492626E-2</v>
      </c>
      <c r="I105" s="259"/>
      <c r="J105" s="259"/>
      <c r="K105" s="259"/>
      <c r="L105" s="258"/>
      <c r="M105" s="258"/>
      <c r="N105" s="258"/>
    </row>
    <row r="106" spans="1:14" x14ac:dyDescent="0.25">
      <c r="A106" s="258"/>
      <c r="B106" s="263">
        <v>42349</v>
      </c>
      <c r="C106" s="258">
        <v>3000</v>
      </c>
      <c r="D106" s="259">
        <v>9.3659999999999997</v>
      </c>
      <c r="E106" s="259">
        <v>8.86</v>
      </c>
      <c r="F106" s="259">
        <f t="shared" si="5"/>
        <v>-1518.0000000000007</v>
      </c>
      <c r="G106" s="259">
        <f t="shared" si="6"/>
        <v>28098</v>
      </c>
      <c r="H106" s="273">
        <f t="shared" si="8"/>
        <v>-5.4025197522955398E-2</v>
      </c>
      <c r="I106" s="259"/>
      <c r="J106" s="259"/>
      <c r="K106" s="259"/>
      <c r="L106" s="258"/>
      <c r="M106" s="258"/>
      <c r="N106" s="258"/>
    </row>
    <row r="107" spans="1:14" x14ac:dyDescent="0.25">
      <c r="A107" s="258"/>
      <c r="B107" s="263">
        <v>42360</v>
      </c>
      <c r="C107" s="258">
        <v>1000</v>
      </c>
      <c r="D107" s="259">
        <v>9.1999999999999993</v>
      </c>
      <c r="E107" s="259">
        <v>9.56</v>
      </c>
      <c r="F107" s="259">
        <f t="shared" si="5"/>
        <v>360.00000000000119</v>
      </c>
      <c r="G107" s="259">
        <f t="shared" si="6"/>
        <v>9200</v>
      </c>
      <c r="H107" s="273">
        <f t="shared" si="8"/>
        <v>3.9130434782608831E-2</v>
      </c>
      <c r="I107" s="259"/>
      <c r="J107" s="259"/>
      <c r="K107" s="259"/>
      <c r="L107" s="258"/>
      <c r="M107" s="258"/>
      <c r="N107" s="258"/>
    </row>
    <row r="108" spans="1:14" x14ac:dyDescent="0.25">
      <c r="A108" s="258"/>
      <c r="B108" s="263">
        <v>42361</v>
      </c>
      <c r="C108" s="258">
        <v>0</v>
      </c>
      <c r="D108" s="259">
        <v>0</v>
      </c>
      <c r="E108" s="259">
        <v>10.19</v>
      </c>
      <c r="F108" s="259">
        <v>360</v>
      </c>
      <c r="G108" s="259"/>
      <c r="H108" s="273"/>
      <c r="I108" s="259"/>
      <c r="J108" s="259"/>
      <c r="K108" s="259"/>
      <c r="L108" s="258"/>
      <c r="M108" s="258"/>
      <c r="N108" s="258"/>
    </row>
    <row r="109" spans="1:14" x14ac:dyDescent="0.25">
      <c r="A109" s="258"/>
      <c r="B109" s="263">
        <v>42377</v>
      </c>
      <c r="C109" s="258">
        <v>400</v>
      </c>
      <c r="D109" s="259">
        <v>6.31</v>
      </c>
      <c r="E109" s="259">
        <v>8.07</v>
      </c>
      <c r="F109" s="259">
        <f t="shared" ref="F109:F114" si="9">C109*(E109-D109)</f>
        <v>704.00000000000023</v>
      </c>
      <c r="G109" s="259">
        <f t="shared" ref="G109:G114" si="10">D109*C109</f>
        <v>2524</v>
      </c>
      <c r="H109" s="273">
        <f t="shared" ref="H109:H114" si="11">(E109-D109)/D109</f>
        <v>0.27892234548335987</v>
      </c>
      <c r="I109" s="259"/>
      <c r="J109" s="259"/>
      <c r="K109" s="259"/>
      <c r="L109" s="258"/>
      <c r="M109" s="258"/>
      <c r="N109" s="258"/>
    </row>
    <row r="110" spans="1:14" x14ac:dyDescent="0.25">
      <c r="A110" s="258"/>
      <c r="B110" s="263">
        <v>42389</v>
      </c>
      <c r="C110" s="258">
        <v>500</v>
      </c>
      <c r="D110" s="259">
        <v>6.34</v>
      </c>
      <c r="E110" s="259">
        <v>6.74</v>
      </c>
      <c r="F110" s="259">
        <f t="shared" si="9"/>
        <v>200.00000000000017</v>
      </c>
      <c r="G110" s="259">
        <f t="shared" si="10"/>
        <v>3170</v>
      </c>
      <c r="H110" s="273">
        <f t="shared" si="11"/>
        <v>6.3091482649842323E-2</v>
      </c>
      <c r="I110" s="259"/>
      <c r="J110" s="259"/>
      <c r="K110" s="259"/>
      <c r="L110" s="258"/>
      <c r="M110" s="258"/>
      <c r="N110" s="258"/>
    </row>
    <row r="111" spans="1:14" x14ac:dyDescent="0.25">
      <c r="A111" s="258"/>
      <c r="B111" s="263">
        <v>42398</v>
      </c>
      <c r="C111" s="258">
        <v>400</v>
      </c>
      <c r="D111" s="259">
        <v>6.12</v>
      </c>
      <c r="E111" s="259">
        <v>7.14</v>
      </c>
      <c r="F111" s="259">
        <f t="shared" si="9"/>
        <v>407.99999999999983</v>
      </c>
      <c r="G111" s="259">
        <f t="shared" si="10"/>
        <v>2448</v>
      </c>
      <c r="H111" s="273">
        <f t="shared" si="11"/>
        <v>0.1666666666666666</v>
      </c>
      <c r="I111" s="259"/>
      <c r="J111" s="259"/>
      <c r="K111" s="259"/>
      <c r="L111" s="258"/>
      <c r="M111" s="258"/>
      <c r="N111" s="258"/>
    </row>
    <row r="112" spans="1:14" x14ac:dyDescent="0.25">
      <c r="A112" s="258"/>
      <c r="B112" s="263">
        <v>42402</v>
      </c>
      <c r="C112" s="258">
        <v>500</v>
      </c>
      <c r="D112" s="259">
        <v>6.2888999999999999</v>
      </c>
      <c r="E112" s="259">
        <v>6.97</v>
      </c>
      <c r="F112" s="259">
        <f t="shared" si="9"/>
        <v>340.5499999999999</v>
      </c>
      <c r="G112" s="259">
        <f t="shared" si="10"/>
        <v>3144.45</v>
      </c>
      <c r="H112" s="273">
        <f t="shared" si="11"/>
        <v>0.10830192879517878</v>
      </c>
      <c r="I112" s="259"/>
      <c r="J112" s="259"/>
      <c r="K112" s="259"/>
      <c r="L112" s="258"/>
      <c r="M112" s="258"/>
      <c r="N112" s="258"/>
    </row>
    <row r="113" spans="1:14" x14ac:dyDescent="0.25">
      <c r="A113" s="258"/>
      <c r="B113" s="263">
        <v>42403</v>
      </c>
      <c r="C113" s="258">
        <v>400</v>
      </c>
      <c r="D113" s="259">
        <v>6.01</v>
      </c>
      <c r="E113" s="259">
        <v>7.55</v>
      </c>
      <c r="F113" s="259">
        <f t="shared" si="9"/>
        <v>616</v>
      </c>
      <c r="G113" s="259">
        <f t="shared" si="10"/>
        <v>2404</v>
      </c>
      <c r="H113" s="273">
        <f t="shared" si="11"/>
        <v>0.2562396006655574</v>
      </c>
      <c r="I113" s="259"/>
      <c r="J113" s="259"/>
      <c r="K113" s="259"/>
      <c r="L113" s="258"/>
      <c r="M113" s="258"/>
      <c r="N113" s="376"/>
    </row>
    <row r="114" spans="1:14" x14ac:dyDescent="0.25">
      <c r="A114" s="258"/>
      <c r="B114" s="263">
        <v>42404</v>
      </c>
      <c r="C114" s="258">
        <v>300</v>
      </c>
      <c r="D114" s="259">
        <v>5.3349000000000002</v>
      </c>
      <c r="E114" s="259">
        <v>8.31</v>
      </c>
      <c r="F114" s="259">
        <f t="shared" si="9"/>
        <v>892.53000000000009</v>
      </c>
      <c r="G114" s="259">
        <f t="shared" si="10"/>
        <v>1600.47</v>
      </c>
      <c r="H114" s="273">
        <f t="shared" si="11"/>
        <v>0.55766743519091266</v>
      </c>
      <c r="I114" s="259"/>
      <c r="J114" s="259"/>
      <c r="K114" s="259"/>
      <c r="L114" s="258"/>
      <c r="M114" s="258"/>
      <c r="N114" s="376"/>
    </row>
    <row r="115" spans="1:14" x14ac:dyDescent="0.25">
      <c r="A115" s="258"/>
      <c r="B115" s="263">
        <v>42416</v>
      </c>
      <c r="C115" s="258">
        <v>0</v>
      </c>
      <c r="D115" s="259">
        <v>0</v>
      </c>
      <c r="E115" s="259">
        <v>0</v>
      </c>
      <c r="F115" s="259">
        <v>793.47</v>
      </c>
      <c r="G115" s="259"/>
      <c r="H115" s="273"/>
      <c r="I115" s="259"/>
      <c r="J115" s="259"/>
      <c r="K115" s="259"/>
      <c r="L115" s="258"/>
      <c r="M115" s="258"/>
      <c r="N115" s="376"/>
    </row>
    <row r="116" spans="1:14" x14ac:dyDescent="0.25">
      <c r="A116" s="376"/>
      <c r="B116" s="375"/>
      <c r="C116" s="376"/>
      <c r="D116" s="377"/>
      <c r="E116" s="377"/>
      <c r="F116" s="377"/>
      <c r="G116" s="377"/>
      <c r="H116" s="378"/>
      <c r="I116" s="377"/>
      <c r="J116" s="377"/>
      <c r="K116" s="377"/>
      <c r="L116" s="376"/>
      <c r="M116" s="376"/>
      <c r="N116" s="376"/>
    </row>
    <row r="117" spans="1:14" x14ac:dyDescent="0.25">
      <c r="A117" s="376"/>
      <c r="B117" s="375">
        <v>42545</v>
      </c>
      <c r="C117" s="376">
        <v>250</v>
      </c>
      <c r="D117" s="377">
        <v>9.36</v>
      </c>
      <c r="E117" s="377">
        <v>9.3800000000000008</v>
      </c>
      <c r="F117" s="377">
        <f t="shared" ref="F117:F127" si="12">C117*(E117-D117)</f>
        <v>5.0000000000003375</v>
      </c>
      <c r="G117" s="377">
        <f t="shared" ref="G117:G127" si="13">D117*C117</f>
        <v>2340</v>
      </c>
      <c r="H117" s="378">
        <f t="shared" ref="H117:H127" si="14">(E117-D117)/D117</f>
        <v>2.1367521367522809E-3</v>
      </c>
      <c r="I117" s="377"/>
      <c r="J117" s="377"/>
      <c r="K117" s="377"/>
      <c r="L117" s="376"/>
      <c r="M117" s="376"/>
      <c r="N117" s="376"/>
    </row>
    <row r="118" spans="1:14" x14ac:dyDescent="0.25">
      <c r="A118" s="376"/>
      <c r="B118" s="375">
        <v>42548</v>
      </c>
      <c r="C118" s="376">
        <v>250</v>
      </c>
      <c r="D118" s="377">
        <v>9.36</v>
      </c>
      <c r="E118" s="377">
        <v>9.1</v>
      </c>
      <c r="F118" s="377">
        <f t="shared" si="12"/>
        <v>-64.999999999999943</v>
      </c>
      <c r="G118" s="377">
        <f t="shared" si="13"/>
        <v>2340</v>
      </c>
      <c r="H118" s="378">
        <f t="shared" si="14"/>
        <v>-2.7777777777777755E-2</v>
      </c>
      <c r="I118" s="377"/>
      <c r="J118" s="377"/>
      <c r="K118" s="377"/>
      <c r="L118" s="376"/>
      <c r="M118" s="376"/>
      <c r="N118" s="376"/>
    </row>
    <row r="119" spans="1:14" x14ac:dyDescent="0.25">
      <c r="A119" s="376"/>
      <c r="B119" s="375">
        <v>42549</v>
      </c>
      <c r="C119" s="376">
        <v>250</v>
      </c>
      <c r="D119" s="377">
        <v>9.36</v>
      </c>
      <c r="E119" s="377">
        <v>9.33</v>
      </c>
      <c r="F119" s="377">
        <f t="shared" si="12"/>
        <v>-7.4999999999998401</v>
      </c>
      <c r="G119" s="377">
        <f t="shared" si="13"/>
        <v>2340</v>
      </c>
      <c r="H119" s="378">
        <f t="shared" si="14"/>
        <v>-3.2051282051281369E-3</v>
      </c>
      <c r="I119" s="377"/>
      <c r="J119" s="377"/>
      <c r="K119" s="377"/>
      <c r="L119" s="376"/>
      <c r="M119" s="376"/>
      <c r="N119" s="376"/>
    </row>
    <row r="120" spans="1:14" x14ac:dyDescent="0.25">
      <c r="A120" s="376"/>
      <c r="B120" s="375">
        <v>42550</v>
      </c>
      <c r="C120" s="376">
        <v>250</v>
      </c>
      <c r="D120" s="377">
        <v>9.36</v>
      </c>
      <c r="E120" s="377">
        <v>9.1</v>
      </c>
      <c r="F120" s="377">
        <f t="shared" si="12"/>
        <v>-64.999999999999943</v>
      </c>
      <c r="G120" s="377">
        <f t="shared" si="13"/>
        <v>2340</v>
      </c>
      <c r="H120" s="378">
        <f t="shared" si="14"/>
        <v>-2.7777777777777755E-2</v>
      </c>
      <c r="I120" s="377"/>
      <c r="J120" s="377"/>
      <c r="K120" s="377"/>
      <c r="L120" s="376"/>
      <c r="M120" s="376"/>
      <c r="N120" s="376"/>
    </row>
    <row r="121" spans="1:14" x14ac:dyDescent="0.25">
      <c r="A121" s="376"/>
      <c r="B121" s="375">
        <v>42552</v>
      </c>
      <c r="C121" s="376">
        <v>250</v>
      </c>
      <c r="D121" s="377">
        <v>9.36</v>
      </c>
      <c r="E121" s="377">
        <v>9.5500000000000007</v>
      </c>
      <c r="F121" s="377">
        <f t="shared" si="12"/>
        <v>47.50000000000032</v>
      </c>
      <c r="G121" s="377">
        <f t="shared" si="13"/>
        <v>2340</v>
      </c>
      <c r="H121" s="378">
        <f t="shared" si="14"/>
        <v>2.0299145299145439E-2</v>
      </c>
      <c r="I121" s="377"/>
      <c r="J121" s="377"/>
      <c r="K121" s="377"/>
      <c r="L121" s="376"/>
      <c r="M121" s="376"/>
      <c r="N121" s="376"/>
    </row>
    <row r="122" spans="1:14" x14ac:dyDescent="0.25">
      <c r="A122" s="376"/>
      <c r="B122" s="375">
        <v>42556</v>
      </c>
      <c r="C122" s="376">
        <v>250</v>
      </c>
      <c r="D122" s="377">
        <v>9.36</v>
      </c>
      <c r="E122" s="377">
        <v>9.26</v>
      </c>
      <c r="F122" s="377">
        <f t="shared" si="12"/>
        <v>-24.999999999999911</v>
      </c>
      <c r="G122" s="377">
        <f t="shared" si="13"/>
        <v>2340</v>
      </c>
      <c r="H122" s="378">
        <f t="shared" si="14"/>
        <v>-1.0683760683760646E-2</v>
      </c>
      <c r="I122" s="377"/>
      <c r="J122" s="377"/>
      <c r="K122" s="377"/>
      <c r="L122" s="376"/>
      <c r="M122" s="376"/>
      <c r="N122" s="376"/>
    </row>
    <row r="123" spans="1:14" x14ac:dyDescent="0.25">
      <c r="A123" s="376"/>
      <c r="B123" s="375">
        <v>42557</v>
      </c>
      <c r="C123" s="376">
        <v>250</v>
      </c>
      <c r="D123" s="377">
        <v>9.36</v>
      </c>
      <c r="E123" s="377">
        <v>9.19</v>
      </c>
      <c r="F123" s="377">
        <f t="shared" si="12"/>
        <v>-42.499999999999986</v>
      </c>
      <c r="G123" s="377">
        <f t="shared" si="13"/>
        <v>2340</v>
      </c>
      <c r="H123" s="378">
        <f t="shared" si="14"/>
        <v>-1.8162393162393157E-2</v>
      </c>
      <c r="I123" s="377"/>
      <c r="J123" s="377"/>
      <c r="K123" s="377"/>
      <c r="L123" s="376"/>
      <c r="M123" s="376"/>
      <c r="N123" s="376"/>
    </row>
    <row r="124" spans="1:14" x14ac:dyDescent="0.25">
      <c r="A124" s="376"/>
      <c r="B124" s="375">
        <v>42559</v>
      </c>
      <c r="C124" s="376">
        <v>250</v>
      </c>
      <c r="D124" s="377">
        <v>9.36</v>
      </c>
      <c r="E124" s="377">
        <v>9.82</v>
      </c>
      <c r="F124" s="377">
        <f t="shared" si="12"/>
        <v>115.00000000000021</v>
      </c>
      <c r="G124" s="377">
        <f t="shared" si="13"/>
        <v>2340</v>
      </c>
      <c r="H124" s="378">
        <f t="shared" si="14"/>
        <v>4.9145299145299241E-2</v>
      </c>
      <c r="I124" s="377"/>
      <c r="J124" s="377"/>
      <c r="K124" s="377"/>
      <c r="L124" s="376"/>
      <c r="M124" s="376"/>
      <c r="N124" s="376"/>
    </row>
    <row r="125" spans="1:14" x14ac:dyDescent="0.25">
      <c r="A125" s="376"/>
      <c r="B125" s="375">
        <v>42562</v>
      </c>
      <c r="C125" s="376">
        <v>250</v>
      </c>
      <c r="D125" s="377">
        <v>9.36</v>
      </c>
      <c r="E125" s="377">
        <v>10.14</v>
      </c>
      <c r="F125" s="377">
        <f t="shared" si="12"/>
        <v>195.00000000000028</v>
      </c>
      <c r="G125" s="377">
        <f t="shared" si="13"/>
        <v>2340</v>
      </c>
      <c r="H125" s="378">
        <f t="shared" si="14"/>
        <v>8.3333333333333454E-2</v>
      </c>
      <c r="I125" s="377" t="s">
        <v>234</v>
      </c>
      <c r="J125" s="377"/>
      <c r="K125" s="377"/>
      <c r="L125" s="376"/>
      <c r="M125" s="376"/>
      <c r="N125" s="376"/>
    </row>
    <row r="126" spans="1:14" x14ac:dyDescent="0.25">
      <c r="A126" s="376"/>
      <c r="B126" s="375">
        <v>42566</v>
      </c>
      <c r="C126" s="376">
        <v>250</v>
      </c>
      <c r="D126" s="377">
        <v>9.36</v>
      </c>
      <c r="E126" s="377">
        <v>10.92</v>
      </c>
      <c r="F126" s="377">
        <f t="shared" si="12"/>
        <v>390.00000000000011</v>
      </c>
      <c r="G126" s="377">
        <f t="shared" si="13"/>
        <v>2340</v>
      </c>
      <c r="H126" s="378">
        <f t="shared" si="14"/>
        <v>0.16666666666666674</v>
      </c>
      <c r="I126" s="464">
        <v>8.8000000000000007</v>
      </c>
      <c r="J126" s="377"/>
      <c r="K126" s="377"/>
      <c r="L126" s="376"/>
      <c r="M126" s="376"/>
      <c r="N126" s="376"/>
    </row>
    <row r="127" spans="1:14" x14ac:dyDescent="0.25">
      <c r="A127" s="376"/>
      <c r="B127" s="375">
        <v>42570</v>
      </c>
      <c r="C127" s="376">
        <v>250</v>
      </c>
      <c r="D127" s="377">
        <v>9.36</v>
      </c>
      <c r="E127" s="377">
        <v>10.63</v>
      </c>
      <c r="F127" s="377">
        <f t="shared" si="12"/>
        <v>317.50000000000034</v>
      </c>
      <c r="G127" s="377">
        <f t="shared" si="13"/>
        <v>2340</v>
      </c>
      <c r="H127" s="378">
        <f t="shared" si="14"/>
        <v>0.13568376068376084</v>
      </c>
      <c r="I127" s="377"/>
      <c r="J127" s="377"/>
      <c r="K127" s="377"/>
      <c r="L127" s="376"/>
      <c r="M127" s="376"/>
      <c r="N127" s="376"/>
    </row>
    <row r="128" spans="1:14" x14ac:dyDescent="0.25">
      <c r="A128" s="376"/>
      <c r="B128" s="375">
        <v>42577</v>
      </c>
      <c r="C128" s="376">
        <v>0</v>
      </c>
      <c r="D128" s="377"/>
      <c r="E128" s="377"/>
      <c r="F128" s="377">
        <v>311.95</v>
      </c>
      <c r="G128" s="377"/>
      <c r="H128" s="378"/>
      <c r="I128" s="377"/>
      <c r="J128" s="377"/>
      <c r="K128" s="377"/>
      <c r="L128" s="376"/>
      <c r="M128" s="376"/>
    </row>
    <row r="129" spans="1:13" x14ac:dyDescent="0.25">
      <c r="A129" s="376"/>
      <c r="B129" s="375"/>
      <c r="C129" s="376"/>
      <c r="D129" s="377"/>
      <c r="E129" s="377"/>
      <c r="F129" s="377"/>
      <c r="G129" s="377"/>
      <c r="H129" s="378"/>
      <c r="I129" s="377"/>
      <c r="J129" s="377"/>
      <c r="K129" s="377"/>
      <c r="L129" s="376"/>
      <c r="M129" s="376"/>
    </row>
    <row r="130" spans="1:13" x14ac:dyDescent="0.25">
      <c r="A130" s="376"/>
      <c r="B130" s="375"/>
      <c r="C130" s="376"/>
      <c r="D130" s="377"/>
      <c r="E130" s="377"/>
      <c r="F130" s="377"/>
      <c r="G130" s="377"/>
      <c r="H130" s="378"/>
      <c r="I130" s="377"/>
      <c r="J130" s="377"/>
      <c r="K130" s="377"/>
      <c r="L130" s="376"/>
      <c r="M130" s="376"/>
    </row>
  </sheetData>
  <mergeCells count="1">
    <mergeCell ref="P39:Q39"/>
  </mergeCells>
  <conditionalFormatting sqref="F22:F39 H22:H39">
    <cfRule type="expression" dxfId="446" priority="66">
      <formula>F22&gt;0</formula>
    </cfRule>
    <cfRule type="expression" dxfId="44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44" priority="53">
      <formula>F41&gt;0</formula>
    </cfRule>
    <cfRule type="expression" dxfId="443" priority="54">
      <formula>F41&lt;0</formula>
    </cfRule>
  </conditionalFormatting>
  <conditionalFormatting sqref="F41">
    <cfRule type="expression" dxfId="442" priority="57">
      <formula>F41&gt;0</formula>
    </cfRule>
    <cfRule type="expression" dxfId="441" priority="58">
      <formula>F41&lt;0</formula>
    </cfRule>
  </conditionalFormatting>
  <conditionalFormatting sqref="H41">
    <cfRule type="expression" dxfId="440" priority="35">
      <formula>H41&gt;0</formula>
    </cfRule>
    <cfRule type="expression" dxfId="439" priority="36">
      <formula>H41&lt;0</formula>
    </cfRule>
  </conditionalFormatting>
  <conditionalFormatting sqref="F89:F95">
    <cfRule type="expression" dxfId="438" priority="29">
      <formula>F89&gt;0</formula>
    </cfRule>
    <cfRule type="expression" dxfId="437" priority="30">
      <formula>F89&lt;0</formula>
    </cfRule>
  </conditionalFormatting>
  <conditionalFormatting sqref="F96:F110">
    <cfRule type="expression" dxfId="436" priority="25">
      <formula>F96&gt;0</formula>
    </cfRule>
    <cfRule type="expression" dxfId="435" priority="26">
      <formula>F96&lt;0</formula>
    </cfRule>
  </conditionalFormatting>
  <conditionalFormatting sqref="F96:F110">
    <cfRule type="expression" dxfId="434" priority="27">
      <formula>F96&gt;0</formula>
    </cfRule>
    <cfRule type="expression" dxfId="433" priority="28">
      <formula>F96&lt;0</formula>
    </cfRule>
  </conditionalFormatting>
  <conditionalFormatting sqref="H89:H100">
    <cfRule type="expression" dxfId="432" priority="23">
      <formula>H89&gt;0</formula>
    </cfRule>
    <cfRule type="expression" dxfId="431" priority="24">
      <formula>H89&lt;0</formula>
    </cfRule>
  </conditionalFormatting>
  <conditionalFormatting sqref="H101">
    <cfRule type="expression" dxfId="430" priority="21">
      <formula>H101&gt;0</formula>
    </cfRule>
    <cfRule type="expression" dxfId="429" priority="22">
      <formula>H101&lt;0</formula>
    </cfRule>
  </conditionalFormatting>
  <conditionalFormatting sqref="F111:F116">
    <cfRule type="expression" dxfId="428" priority="19">
      <formula>F111&gt;0</formula>
    </cfRule>
    <cfRule type="expression" dxfId="427" priority="20">
      <formula>F111&lt;0</formula>
    </cfRule>
  </conditionalFormatting>
  <conditionalFormatting sqref="H103:H116">
    <cfRule type="expression" dxfId="426" priority="17">
      <formula>H103&gt;0</formula>
    </cfRule>
    <cfRule type="expression" dxfId="425" priority="18">
      <formula>H103&lt;0</formula>
    </cfRule>
  </conditionalFormatting>
  <conditionalFormatting sqref="H102">
    <cfRule type="expression" dxfId="424" priority="15">
      <formula>H102&gt;0</formula>
    </cfRule>
    <cfRule type="expression" dxfId="423" priority="16">
      <formula>H102&lt;0</formula>
    </cfRule>
  </conditionalFormatting>
  <conditionalFormatting sqref="M42">
    <cfRule type="expression" dxfId="422" priority="13">
      <formula>M42&gt;0</formula>
    </cfRule>
    <cfRule type="expression" dxfId="421" priority="14">
      <formula>M42&lt;0</formula>
    </cfRule>
  </conditionalFormatting>
  <conditionalFormatting sqref="Q7">
    <cfRule type="expression" dxfId="420" priority="9">
      <formula>Q7&gt;0</formula>
    </cfRule>
    <cfRule type="expression" dxfId="419" priority="10">
      <formula>Q7&lt;0</formula>
    </cfRule>
  </conditionalFormatting>
  <conditionalFormatting sqref="Q8">
    <cfRule type="expression" dxfId="418" priority="7">
      <formula>Q8&gt;0</formula>
    </cfRule>
    <cfRule type="expression" dxfId="417" priority="8">
      <formula>Q8&lt;0</formula>
    </cfRule>
  </conditionalFormatting>
  <conditionalFormatting sqref="F117:F130 H117:H130">
    <cfRule type="expression" dxfId="416" priority="1">
      <formula>F117&gt;0</formula>
    </cfRule>
    <cfRule type="expression" dxfId="41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225</v>
      </c>
      <c r="B2" s="498">
        <v>42755</v>
      </c>
      <c r="C2" s="7">
        <v>100</v>
      </c>
      <c r="D2" s="44">
        <v>33.58</v>
      </c>
      <c r="E2" s="44">
        <v>0</v>
      </c>
      <c r="F2" s="44">
        <f t="shared" ref="F2:F13" si="0">D2*C2+E2</f>
        <v>3358</v>
      </c>
      <c r="G2" s="498">
        <v>42811</v>
      </c>
      <c r="H2" s="81">
        <v>100</v>
      </c>
      <c r="I2" s="44">
        <v>29.38</v>
      </c>
      <c r="J2" s="44">
        <v>0.06</v>
      </c>
      <c r="K2" s="44">
        <f t="shared" ref="K2:K9" si="1"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243</v>
      </c>
      <c r="W2" s="131"/>
      <c r="X2" s="10"/>
      <c r="Y2" s="10"/>
      <c r="Z2" s="10"/>
      <c r="AA2" s="10"/>
      <c r="AB2" s="94"/>
      <c r="AC2" s="10"/>
      <c r="AD2" s="2"/>
      <c r="AE2" s="135"/>
    </row>
    <row r="3" spans="1:31" x14ac:dyDescent="0.25">
      <c r="A3" s="23" t="s">
        <v>71</v>
      </c>
      <c r="B3" s="498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8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7">
        <f>IF(Q2=0, Q4, (F18-K18-M18)/Q2)</f>
        <v>29.986960000000007</v>
      </c>
      <c r="T3" s="1" t="s">
        <v>244</v>
      </c>
      <c r="W3" s="131"/>
      <c r="X3" s="10"/>
      <c r="Y3" s="10"/>
      <c r="Z3" s="10"/>
      <c r="AA3" s="10"/>
      <c r="AB3" s="94"/>
      <c r="AC3" s="10"/>
      <c r="AD3" s="2"/>
      <c r="AE3" s="135"/>
    </row>
    <row r="4" spans="1:31" x14ac:dyDescent="0.25">
      <c r="B4" s="498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8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30.3</v>
      </c>
      <c r="R4" s="517">
        <v>2.5999999999999999E-3</v>
      </c>
      <c r="T4" s="160">
        <v>42633</v>
      </c>
      <c r="U4" s="1" t="s">
        <v>279</v>
      </c>
      <c r="W4" s="131"/>
      <c r="X4" s="10"/>
      <c r="Y4" s="10"/>
      <c r="Z4" s="10"/>
      <c r="AA4" s="10"/>
      <c r="AB4" s="94"/>
      <c r="AC4" s="10"/>
      <c r="AD4" s="2"/>
      <c r="AE4" s="135"/>
    </row>
    <row r="5" spans="1:31" x14ac:dyDescent="0.25">
      <c r="B5" s="499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8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7575</v>
      </c>
      <c r="W5" s="131"/>
      <c r="X5" s="10"/>
      <c r="Y5" s="10"/>
      <c r="Z5" s="10"/>
      <c r="AA5" s="10"/>
      <c r="AB5" s="94"/>
      <c r="AC5" s="10"/>
      <c r="AD5" s="2"/>
      <c r="AE5" s="135"/>
    </row>
    <row r="6" spans="1:31" x14ac:dyDescent="0.25">
      <c r="B6" s="498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8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7496.7400000000016</v>
      </c>
      <c r="T6" t="s">
        <v>339</v>
      </c>
      <c r="U6" t="s">
        <v>480</v>
      </c>
      <c r="W6" s="131"/>
      <c r="X6" s="10"/>
      <c r="Y6" s="10"/>
      <c r="Z6" s="10"/>
      <c r="AA6" s="10"/>
      <c r="AB6" s="94"/>
      <c r="AC6" s="10"/>
      <c r="AD6" s="2"/>
      <c r="AE6" s="135"/>
    </row>
    <row r="7" spans="1:31" x14ac:dyDescent="0.25">
      <c r="B7" s="498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8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179</v>
      </c>
      <c r="Q7" s="2">
        <f>Q10+Q8</f>
        <v>3388.7299999999923</v>
      </c>
      <c r="R7">
        <v>50</v>
      </c>
      <c r="T7" t="s">
        <v>479</v>
      </c>
      <c r="W7" s="131"/>
      <c r="X7" s="10"/>
      <c r="Y7" s="10"/>
      <c r="Z7" s="10"/>
      <c r="AA7" s="10"/>
      <c r="AB7" s="94"/>
      <c r="AC7" s="10"/>
      <c r="AD7" s="2"/>
      <c r="AE7" s="135"/>
    </row>
    <row r="8" spans="1:31" x14ac:dyDescent="0.25">
      <c r="B8" s="498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8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181</v>
      </c>
      <c r="P8" s="34"/>
      <c r="Q8" s="2">
        <f>K18+M18-F18+Q2*Q4</f>
        <v>78.259999999998399</v>
      </c>
      <c r="T8" t="s">
        <v>481</v>
      </c>
      <c r="W8" s="131"/>
      <c r="X8" s="10"/>
      <c r="Y8" s="10"/>
      <c r="Z8" s="10"/>
      <c r="AA8" s="10"/>
      <c r="AB8" s="94"/>
      <c r="AC8" s="10"/>
      <c r="AD8" s="2"/>
      <c r="AE8" s="135"/>
    </row>
    <row r="9" spans="1:31" x14ac:dyDescent="0.25">
      <c r="B9" s="498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8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211</v>
      </c>
      <c r="Q9" s="135">
        <f>IF(Q2=0, 0, Q8/Q6)</f>
        <v>1.0439204240776441E-2</v>
      </c>
      <c r="W9" s="131"/>
      <c r="X9" s="10"/>
      <c r="Y9" s="10"/>
      <c r="Z9" s="10"/>
      <c r="AA9" s="10"/>
      <c r="AB9" s="94"/>
      <c r="AC9" s="10"/>
      <c r="AD9" s="2"/>
      <c r="AE9" s="135"/>
    </row>
    <row r="10" spans="1:31" x14ac:dyDescent="0.25">
      <c r="B10" s="498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f>M56</f>
        <v>3310.4699999999939</v>
      </c>
      <c r="W10" s="131"/>
      <c r="X10" s="10"/>
      <c r="Y10" s="10"/>
      <c r="Z10" s="10"/>
      <c r="AA10" s="10"/>
      <c r="AB10" s="94"/>
      <c r="AC10" s="10"/>
      <c r="AD10" s="2"/>
      <c r="AE10" s="135"/>
    </row>
    <row r="11" spans="1:31" x14ac:dyDescent="0.25">
      <c r="B11" s="697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IF(U71="N/A (N/A)", 0, VALUE(TRIM(CLEAN(MID(U71, FIND("(", U71)+1, 5)))))</f>
        <v>4.0899999999999999E-2</v>
      </c>
      <c r="W11" s="131"/>
      <c r="X11" s="10"/>
      <c r="Y11" s="10"/>
      <c r="Z11" s="10"/>
      <c r="AA11" s="10"/>
      <c r="AB11" s="94"/>
      <c r="AC11" s="10"/>
      <c r="AD11" s="2"/>
      <c r="AE11" s="135"/>
    </row>
    <row r="12" spans="1:31" x14ac:dyDescent="0.25">
      <c r="B12" s="697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499"/>
      <c r="H12" s="182"/>
      <c r="I12" s="3"/>
      <c r="J12" s="3"/>
      <c r="K12" s="3"/>
      <c r="L12" s="4"/>
      <c r="M12" s="4"/>
      <c r="W12" s="131"/>
      <c r="X12" s="10"/>
      <c r="Y12" s="10"/>
      <c r="Z12" s="10"/>
      <c r="AA12" s="10"/>
      <c r="AB12" s="94"/>
      <c r="AC12" s="10"/>
      <c r="AD12" s="2"/>
      <c r="AE12" s="135"/>
    </row>
    <row r="13" spans="1:31" x14ac:dyDescent="0.25">
      <c r="B13" s="697">
        <v>42957</v>
      </c>
      <c r="C13" s="4">
        <v>50</v>
      </c>
      <c r="D13" s="3">
        <v>30.7</v>
      </c>
      <c r="E13" s="3">
        <v>0</v>
      </c>
      <c r="F13" s="3">
        <f t="shared" si="0"/>
        <v>1535</v>
      </c>
      <c r="G13" s="499"/>
      <c r="H13" s="182"/>
      <c r="I13" s="3"/>
      <c r="J13" s="3"/>
      <c r="K13" s="3"/>
      <c r="L13" s="4"/>
      <c r="M13" s="4"/>
      <c r="W13" s="131"/>
      <c r="X13" s="10"/>
      <c r="Y13" s="10"/>
      <c r="Z13" s="10"/>
      <c r="AA13" s="10"/>
      <c r="AB13" s="94"/>
      <c r="AC13" s="10"/>
      <c r="AD13" s="2"/>
      <c r="AE13" s="135"/>
    </row>
    <row r="14" spans="1:31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  <c r="W14" s="131"/>
      <c r="X14" s="10"/>
      <c r="Y14" s="10"/>
      <c r="Z14" s="10"/>
      <c r="AA14" s="10"/>
      <c r="AB14" s="94"/>
      <c r="AC14" s="10"/>
      <c r="AD14" s="2"/>
      <c r="AE14" s="135"/>
    </row>
    <row r="15" spans="1:31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W15" s="131"/>
      <c r="X15" s="10"/>
      <c r="Y15" s="10"/>
      <c r="Z15" s="10"/>
      <c r="AA15" s="10"/>
      <c r="AB15" s="94"/>
      <c r="AC15" s="10"/>
      <c r="AD15" s="2"/>
      <c r="AE15" s="135"/>
    </row>
    <row r="16" spans="1:31" x14ac:dyDescent="0.25">
      <c r="G16" s="30"/>
      <c r="H16" s="71"/>
      <c r="W16" s="131"/>
      <c r="X16" s="10"/>
      <c r="Y16" s="10"/>
      <c r="Z16" s="10"/>
      <c r="AA16" s="10"/>
      <c r="AB16" s="94"/>
      <c r="AC16" s="10"/>
      <c r="AD16" s="2"/>
      <c r="AE16" s="135"/>
    </row>
    <row r="17" spans="1:31" x14ac:dyDescent="0.25">
      <c r="G17" s="30"/>
      <c r="W17" s="131"/>
      <c r="X17" s="10"/>
      <c r="Y17" s="10"/>
      <c r="Z17" s="10"/>
      <c r="AA17" s="10"/>
      <c r="AB17" s="94"/>
      <c r="AC17" s="10"/>
      <c r="AD17" s="2"/>
      <c r="AE17" s="135"/>
    </row>
    <row r="18" spans="1:31" x14ac:dyDescent="0.25">
      <c r="A18" s="32" t="s">
        <v>81</v>
      </c>
      <c r="B18" s="500"/>
      <c r="C18" s="14">
        <f>SUM(C2:C14)</f>
        <v>950</v>
      </c>
      <c r="D18" s="18"/>
      <c r="E18" s="18"/>
      <c r="F18" s="18">
        <f>SUM(F2:F14)</f>
        <v>27908.79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105</v>
      </c>
      <c r="W18" s="131"/>
      <c r="X18" s="10"/>
      <c r="Y18" s="10"/>
      <c r="Z18" s="10"/>
      <c r="AA18" s="10"/>
      <c r="AB18" s="94"/>
      <c r="AC18" s="10"/>
      <c r="AD18" s="2"/>
      <c r="AE18" s="135"/>
    </row>
    <row r="19" spans="1:31" ht="15.75" thickBot="1" x14ac:dyDescent="0.3">
      <c r="A19" s="351" t="s">
        <v>195</v>
      </c>
      <c r="B19" s="501"/>
      <c r="C19" s="353">
        <f>SumByColor($A$19,C2:C17)</f>
        <v>700</v>
      </c>
      <c r="D19" s="353"/>
      <c r="E19" s="353"/>
      <c r="F19" s="354">
        <f>SumByColor($A$19,F2:F17)</f>
        <v>20098</v>
      </c>
      <c r="G19" s="353"/>
      <c r="H19" s="353">
        <f>SumByColor($A$19,H2:H17)</f>
        <v>700</v>
      </c>
      <c r="I19" s="353"/>
      <c r="J19" s="353"/>
      <c r="K19" s="354">
        <f>SumByColor($A$19,K2:K17)</f>
        <v>20307</v>
      </c>
      <c r="L19" s="353"/>
      <c r="M19" s="354">
        <f>SumByColor($A$19,M2:M17)</f>
        <v>105</v>
      </c>
      <c r="W19" s="131"/>
      <c r="X19" s="10"/>
      <c r="Y19" s="10"/>
      <c r="Z19" s="10"/>
      <c r="AA19" s="10"/>
      <c r="AB19" s="94"/>
      <c r="AC19" s="10"/>
      <c r="AD19" s="2"/>
      <c r="AE19" s="135"/>
    </row>
    <row r="20" spans="1:31" x14ac:dyDescent="0.25">
      <c r="W20" s="131"/>
      <c r="X20" s="10"/>
      <c r="Y20" s="10"/>
      <c r="Z20" s="10"/>
      <c r="AA20" s="10"/>
      <c r="AB20" s="94"/>
      <c r="AC20" s="10"/>
      <c r="AD20" s="2"/>
      <c r="AE20" s="135"/>
    </row>
    <row r="21" spans="1:31" x14ac:dyDescent="0.25">
      <c r="W21" s="131"/>
      <c r="X21" s="10"/>
      <c r="Y21" s="10"/>
      <c r="Z21" s="10"/>
      <c r="AA21" s="10"/>
      <c r="AB21" s="94"/>
      <c r="AC21" s="10"/>
      <c r="AD21" s="2"/>
      <c r="AE21" s="135"/>
    </row>
    <row r="22" spans="1:31" x14ac:dyDescent="0.25">
      <c r="W22" s="131"/>
      <c r="X22" s="10"/>
      <c r="Y22" s="10"/>
      <c r="Z22" s="10"/>
      <c r="AA22" s="10"/>
      <c r="AB22" s="94"/>
      <c r="AC22" s="10"/>
      <c r="AD22" s="2"/>
      <c r="AE22" s="135"/>
    </row>
    <row r="23" spans="1:31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538</v>
      </c>
      <c r="W23" s="131"/>
      <c r="X23" s="10"/>
      <c r="Y23" s="10"/>
      <c r="Z23" s="10"/>
      <c r="AA23" s="10"/>
      <c r="AB23" s="94"/>
      <c r="AC23" s="10"/>
      <c r="AD23" s="2"/>
      <c r="AE23" s="135"/>
    </row>
    <row r="24" spans="1:31" x14ac:dyDescent="0.25">
      <c r="A24" t="s">
        <v>356</v>
      </c>
      <c r="B24" s="154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8">
        <f t="shared" ref="H24:H29" si="4">(E24-D24)/D24</f>
        <v>1.8463371054199065E-2</v>
      </c>
      <c r="I24" s="40"/>
      <c r="J24" s="40"/>
      <c r="W24" s="131"/>
      <c r="X24" s="10"/>
      <c r="Y24" s="10"/>
      <c r="Z24" s="10"/>
      <c r="AA24" s="10"/>
      <c r="AB24" s="94"/>
      <c r="AC24" s="10"/>
      <c r="AD24" s="2"/>
      <c r="AE24" s="135"/>
    </row>
    <row r="25" spans="1:31" x14ac:dyDescent="0.25">
      <c r="A25" t="s">
        <v>356</v>
      </c>
      <c r="B25" s="154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8">
        <f t="shared" si="4"/>
        <v>8.8147706968433617E-2</v>
      </c>
      <c r="I25" s="40"/>
      <c r="J25" s="40"/>
      <c r="W25" s="131"/>
      <c r="X25" s="10"/>
      <c r="Y25" s="10"/>
      <c r="Z25" s="10"/>
      <c r="AA25" s="10"/>
      <c r="AB25" s="94"/>
      <c r="AC25" s="10"/>
      <c r="AD25" s="2"/>
      <c r="AE25" s="135"/>
    </row>
    <row r="26" spans="1:31" x14ac:dyDescent="0.25">
      <c r="A26" t="s">
        <v>450</v>
      </c>
      <c r="B26" s="154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8">
        <f t="shared" si="4"/>
        <v>2.1313209593154157E-2</v>
      </c>
      <c r="I26" s="40"/>
      <c r="J26" s="40"/>
      <c r="W26" s="131"/>
      <c r="X26" s="10"/>
      <c r="Y26" s="10"/>
      <c r="Z26" s="10"/>
      <c r="AA26" s="10"/>
      <c r="AB26" s="94"/>
      <c r="AC26" s="10"/>
      <c r="AD26" s="2"/>
      <c r="AE26" s="135"/>
    </row>
    <row r="27" spans="1:31" x14ac:dyDescent="0.25">
      <c r="A27" t="s">
        <v>465</v>
      </c>
      <c r="B27" s="154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8">
        <f t="shared" si="4"/>
        <v>-1.6068122917438102E-2</v>
      </c>
      <c r="I27" s="40"/>
      <c r="J27" s="40"/>
      <c r="W27" s="131"/>
      <c r="X27" s="10"/>
      <c r="Y27" s="10"/>
      <c r="Z27" s="10"/>
      <c r="AA27" s="10"/>
      <c r="AB27" s="94"/>
      <c r="AC27" s="10"/>
      <c r="AD27" s="2"/>
      <c r="AE27" s="135"/>
    </row>
    <row r="28" spans="1:31" ht="20.25" thickBot="1" x14ac:dyDescent="0.35">
      <c r="A28" t="s">
        <v>470</v>
      </c>
      <c r="B28" s="154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8">
        <f t="shared" si="4"/>
        <v>-4.5762610208120807E-2</v>
      </c>
      <c r="I28" s="40"/>
      <c r="J28" s="40"/>
      <c r="O28" s="698" t="s">
        <v>78</v>
      </c>
      <c r="P28" s="698"/>
      <c r="W28" s="131"/>
      <c r="X28" s="10"/>
      <c r="Y28" s="10"/>
      <c r="Z28" s="10"/>
      <c r="AA28" s="10"/>
      <c r="AB28" s="94"/>
      <c r="AC28" s="10"/>
      <c r="AD28" s="2"/>
      <c r="AE28" s="135"/>
    </row>
    <row r="29" spans="1:31" ht="15.75" thickTop="1" x14ac:dyDescent="0.25">
      <c r="A29" t="s">
        <v>377</v>
      </c>
      <c r="B29" s="154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8">
        <f t="shared" si="4"/>
        <v>-6.5854975109458355E-2</v>
      </c>
      <c r="I29" s="40"/>
      <c r="J29" s="40"/>
      <c r="O29" s="82">
        <v>1.1000000000000001</v>
      </c>
      <c r="P29" s="82">
        <f>O29*$Q$4</f>
        <v>33.330000000000005</v>
      </c>
      <c r="W29" s="131"/>
      <c r="X29" s="10"/>
      <c r="Y29" s="10"/>
      <c r="Z29" s="10"/>
      <c r="AA29" s="10"/>
      <c r="AB29" s="94"/>
      <c r="AC29" s="10"/>
      <c r="AD29" s="2"/>
      <c r="AE29" s="135"/>
    </row>
    <row r="30" spans="1:31" x14ac:dyDescent="0.25">
      <c r="A30" t="s">
        <v>492</v>
      </c>
      <c r="B30" s="154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8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33.027000000000001</v>
      </c>
      <c r="W30" s="131"/>
      <c r="X30" s="10"/>
      <c r="Y30" s="10"/>
      <c r="Z30" s="10"/>
      <c r="AA30" s="10"/>
      <c r="AB30" s="94"/>
      <c r="AC30" s="10"/>
      <c r="AD30" s="2"/>
      <c r="AE30" s="135"/>
    </row>
    <row r="31" spans="1:31" x14ac:dyDescent="0.25">
      <c r="A31">
        <v>100</v>
      </c>
      <c r="B31" s="154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8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32.724000000000004</v>
      </c>
      <c r="W31" s="131"/>
      <c r="X31" s="10"/>
      <c r="Y31" s="10"/>
      <c r="Z31" s="10"/>
      <c r="AA31" s="10"/>
      <c r="AB31" s="94"/>
      <c r="AC31" s="10"/>
      <c r="AD31" s="2"/>
      <c r="AE31" s="135"/>
    </row>
    <row r="32" spans="1:31" x14ac:dyDescent="0.25">
      <c r="A32">
        <v>100</v>
      </c>
      <c r="B32" s="154">
        <v>42809</v>
      </c>
      <c r="C32" s="579">
        <v>350</v>
      </c>
      <c r="D32" s="65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8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32.420999999999999</v>
      </c>
      <c r="W32" s="131"/>
      <c r="X32" s="10"/>
      <c r="Y32" s="10"/>
      <c r="Z32" s="10"/>
      <c r="AA32" s="10"/>
      <c r="AB32" s="94"/>
      <c r="AC32" s="10"/>
      <c r="AD32" s="2"/>
      <c r="AE32" s="135"/>
    </row>
    <row r="33" spans="1:31" x14ac:dyDescent="0.25">
      <c r="A33">
        <v>0</v>
      </c>
      <c r="B33" s="154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8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32.118000000000002</v>
      </c>
      <c r="W33" s="131"/>
      <c r="X33" s="10"/>
      <c r="Y33" s="10"/>
      <c r="Z33" s="10"/>
      <c r="AA33" s="10"/>
      <c r="AB33" s="94"/>
      <c r="AC33" s="10"/>
      <c r="AD33" s="2"/>
      <c r="AE33" s="135"/>
    </row>
    <row r="34" spans="1:31" x14ac:dyDescent="0.25">
      <c r="B34" s="154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8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31.815000000000001</v>
      </c>
      <c r="W34" s="131"/>
      <c r="X34" s="10"/>
      <c r="Y34" s="10"/>
      <c r="Z34" s="10"/>
      <c r="AA34" s="10"/>
      <c r="AB34" s="94"/>
      <c r="AC34" s="10"/>
      <c r="AD34" s="2"/>
      <c r="AE34" s="135"/>
    </row>
    <row r="35" spans="1:31" x14ac:dyDescent="0.25">
      <c r="A35">
        <v>50</v>
      </c>
      <c r="B35" s="154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8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31.512</v>
      </c>
      <c r="W35" s="131"/>
      <c r="X35" s="10"/>
      <c r="Y35" s="10"/>
      <c r="Z35" s="10"/>
      <c r="AA35" s="10"/>
      <c r="AB35" s="94"/>
      <c r="AC35" s="10"/>
      <c r="AD35" s="2"/>
      <c r="AE35" s="135"/>
    </row>
    <row r="36" spans="1:31" x14ac:dyDescent="0.25">
      <c r="A36">
        <v>50</v>
      </c>
      <c r="B36" s="154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8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31.209000000000003</v>
      </c>
      <c r="W36" s="131"/>
      <c r="X36" s="10"/>
      <c r="Y36" s="10"/>
      <c r="Z36" s="10"/>
      <c r="AA36" s="10"/>
      <c r="AB36" s="94"/>
      <c r="AC36" s="10"/>
      <c r="AD36" s="2"/>
      <c r="AE36" s="135"/>
    </row>
    <row r="37" spans="1:31" x14ac:dyDescent="0.25">
      <c r="A37">
        <v>150</v>
      </c>
      <c r="B37" s="154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8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30.906000000000002</v>
      </c>
      <c r="W37" s="131"/>
      <c r="X37" s="10"/>
      <c r="Y37" s="10"/>
      <c r="Z37" s="10"/>
      <c r="AA37" s="10"/>
      <c r="AB37" s="94"/>
      <c r="AC37" s="10"/>
      <c r="AD37" s="2"/>
      <c r="AE37" s="135"/>
    </row>
    <row r="38" spans="1:31" x14ac:dyDescent="0.25">
      <c r="A38">
        <v>150</v>
      </c>
      <c r="B38" s="154">
        <v>42846</v>
      </c>
      <c r="C38" s="579">
        <v>350</v>
      </c>
      <c r="D38" s="650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8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30.603000000000002</v>
      </c>
      <c r="W38" s="131"/>
      <c r="X38" s="10"/>
      <c r="Y38" s="10"/>
      <c r="Z38" s="10"/>
      <c r="AA38" s="10"/>
      <c r="AB38" s="94"/>
      <c r="AC38" s="10"/>
      <c r="AD38" s="2"/>
      <c r="AE38" s="135"/>
    </row>
    <row r="39" spans="1:31" x14ac:dyDescent="0.25">
      <c r="A39">
        <v>50</v>
      </c>
      <c r="B39" s="154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8">
        <f t="shared" ref="H39" si="32">(E39-D39)/D39</f>
        <v>-0.14819687088901862</v>
      </c>
      <c r="I39" s="40" t="s">
        <v>744</v>
      </c>
      <c r="J39" s="40">
        <v>2125</v>
      </c>
      <c r="O39" s="82">
        <v>1</v>
      </c>
      <c r="P39" s="82">
        <f t="shared" si="8"/>
        <v>30.3</v>
      </c>
      <c r="W39" s="131"/>
      <c r="X39" s="10"/>
      <c r="Y39" s="10"/>
      <c r="Z39" s="10"/>
      <c r="AA39" s="10"/>
      <c r="AB39" s="94"/>
      <c r="AC39" s="10"/>
      <c r="AD39" s="2"/>
      <c r="AE39" s="135"/>
    </row>
    <row r="40" spans="1:31" x14ac:dyDescent="0.25">
      <c r="A40">
        <v>50</v>
      </c>
      <c r="B40" s="154">
        <v>42853</v>
      </c>
      <c r="C40" s="579">
        <v>350</v>
      </c>
      <c r="D40" s="650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8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29.997</v>
      </c>
      <c r="W40" s="131"/>
      <c r="X40" s="10"/>
      <c r="Y40" s="10"/>
      <c r="Z40" s="10"/>
      <c r="AA40" s="10"/>
      <c r="AB40" s="94"/>
      <c r="AC40" s="10"/>
      <c r="AD40" s="2"/>
      <c r="AE40" s="135"/>
    </row>
    <row r="41" spans="1:31" x14ac:dyDescent="0.25">
      <c r="A41">
        <v>50</v>
      </c>
      <c r="B41" s="154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8">
        <f t="shared" ref="H41" si="38">(E41-D41)/D41</f>
        <v>-0.10262077676034101</v>
      </c>
      <c r="I41" s="40" t="s">
        <v>745</v>
      </c>
      <c r="J41" s="40">
        <v>2498</v>
      </c>
      <c r="O41" s="82">
        <v>0.98</v>
      </c>
      <c r="P41" s="82">
        <f t="shared" si="8"/>
        <v>29.693999999999999</v>
      </c>
      <c r="W41" s="131"/>
      <c r="X41" s="10"/>
      <c r="Y41" s="10"/>
      <c r="Z41" s="10"/>
      <c r="AA41" s="10"/>
      <c r="AB41" s="94"/>
      <c r="AC41" s="10"/>
      <c r="AD41" s="2"/>
      <c r="AE41" s="135"/>
    </row>
    <row r="42" spans="1:31" x14ac:dyDescent="0.25">
      <c r="A42">
        <v>250</v>
      </c>
      <c r="B42" s="154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8">
        <f t="shared" ref="H42" si="41">(E42-D42)/D42</f>
        <v>-0.13834874083519286</v>
      </c>
      <c r="I42" s="40" t="s">
        <v>749</v>
      </c>
      <c r="J42" s="40">
        <v>2225</v>
      </c>
      <c r="O42" s="82">
        <v>0.97</v>
      </c>
      <c r="P42" s="82">
        <f t="shared" si="8"/>
        <v>29.390999999999998</v>
      </c>
      <c r="W42" s="131"/>
      <c r="X42" s="10"/>
      <c r="Y42" s="10"/>
      <c r="Z42" s="10"/>
      <c r="AA42" s="10"/>
      <c r="AB42" s="94"/>
      <c r="AC42" s="10"/>
      <c r="AD42" s="2"/>
      <c r="AE42" s="135"/>
    </row>
    <row r="43" spans="1:31" x14ac:dyDescent="0.25">
      <c r="A43">
        <v>150</v>
      </c>
      <c r="B43" s="154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8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29.088000000000001</v>
      </c>
      <c r="W43" s="131"/>
      <c r="X43" s="10"/>
      <c r="Y43" s="10"/>
      <c r="Z43" s="10"/>
      <c r="AA43" s="10"/>
      <c r="AB43" s="94"/>
      <c r="AC43" s="10"/>
      <c r="AD43" s="2"/>
      <c r="AE43" s="135"/>
    </row>
    <row r="44" spans="1:31" x14ac:dyDescent="0.25">
      <c r="A44">
        <v>150</v>
      </c>
      <c r="B44" s="154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8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28.785</v>
      </c>
      <c r="W44" s="131"/>
      <c r="X44" s="10"/>
      <c r="Y44" s="10"/>
      <c r="Z44" s="10"/>
      <c r="AA44" s="10"/>
      <c r="AB44" s="94"/>
      <c r="AC44" s="10"/>
      <c r="AD44" s="2"/>
      <c r="AE44" s="135"/>
    </row>
    <row r="45" spans="1:31" x14ac:dyDescent="0.25">
      <c r="A45">
        <v>150</v>
      </c>
      <c r="B45" s="154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8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28.481999999999999</v>
      </c>
      <c r="W45" s="131"/>
      <c r="X45" s="10"/>
      <c r="Y45" s="10"/>
      <c r="Z45" s="10"/>
      <c r="AA45" s="10"/>
      <c r="AB45" s="94"/>
      <c r="AC45" s="10"/>
      <c r="AD45" s="2"/>
      <c r="AE45" s="135"/>
    </row>
    <row r="46" spans="1:31" x14ac:dyDescent="0.25">
      <c r="A46">
        <v>150</v>
      </c>
      <c r="B46" s="154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8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28.179000000000002</v>
      </c>
      <c r="W46" s="131"/>
      <c r="X46" s="10"/>
      <c r="Y46" s="10"/>
      <c r="Z46" s="10"/>
      <c r="AA46" s="10"/>
      <c r="AB46" s="94"/>
      <c r="AC46" s="10"/>
      <c r="AD46" s="2"/>
      <c r="AE46" s="135"/>
    </row>
    <row r="47" spans="1:31" x14ac:dyDescent="0.25">
      <c r="A47">
        <v>100</v>
      </c>
      <c r="B47" s="154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8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27.876000000000001</v>
      </c>
      <c r="W47" s="131"/>
      <c r="X47" s="10"/>
      <c r="Y47" s="10"/>
      <c r="Z47" s="10"/>
      <c r="AA47" s="10"/>
      <c r="AB47" s="94"/>
      <c r="AC47" s="10"/>
      <c r="AD47" s="2"/>
      <c r="AE47" s="135"/>
    </row>
    <row r="48" spans="1:31" x14ac:dyDescent="0.25">
      <c r="A48">
        <v>50</v>
      </c>
      <c r="B48" s="154">
        <v>42951</v>
      </c>
      <c r="C48" s="10">
        <v>200</v>
      </c>
      <c r="D48" s="40">
        <v>29.808700000000002</v>
      </c>
      <c r="E48" s="40">
        <v>32.21</v>
      </c>
      <c r="F48" s="40">
        <f t="shared" ref="F48" si="57">C48*(E48-D48)</f>
        <v>480.25999999999982</v>
      </c>
      <c r="G48" s="40">
        <f t="shared" ref="G48" si="58">D48*C48</f>
        <v>5961.7400000000007</v>
      </c>
      <c r="H48" s="228">
        <f t="shared" ref="H48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27.573</v>
      </c>
      <c r="W48" s="131"/>
      <c r="X48" s="10"/>
      <c r="Y48" s="10"/>
      <c r="Z48" s="10"/>
      <c r="AA48" s="10"/>
      <c r="AB48" s="94"/>
      <c r="AC48" s="10"/>
      <c r="AD48" s="2"/>
      <c r="AE48" s="135"/>
    </row>
    <row r="49" spans="1:31" x14ac:dyDescent="0.25">
      <c r="A49">
        <v>50</v>
      </c>
      <c r="B49" s="154">
        <v>42957</v>
      </c>
      <c r="C49" s="7">
        <v>250</v>
      </c>
      <c r="D49" s="44">
        <v>29.986999999999998</v>
      </c>
      <c r="E49" s="40">
        <v>30.76</v>
      </c>
      <c r="F49" s="40">
        <f t="shared" ref="F49" si="60">C49*(E49-D49)</f>
        <v>193.2500000000008</v>
      </c>
      <c r="G49" s="40">
        <f t="shared" ref="G49" si="61">D49*C49</f>
        <v>7496.75</v>
      </c>
      <c r="H49" s="228">
        <f t="shared" ref="H49" si="62">(E49-D49)/D49</f>
        <v>2.577783706272729E-2</v>
      </c>
      <c r="I49" s="40"/>
      <c r="J49" s="40">
        <v>3504</v>
      </c>
      <c r="O49" s="82">
        <v>0.9</v>
      </c>
      <c r="P49" s="82">
        <f t="shared" si="8"/>
        <v>27.27</v>
      </c>
      <c r="W49" s="131"/>
      <c r="X49" s="10"/>
      <c r="Y49" s="10"/>
      <c r="Z49" s="10"/>
      <c r="AA49" s="10"/>
      <c r="AB49" s="94"/>
      <c r="AC49" s="10"/>
      <c r="AD49" s="2"/>
      <c r="AE49" s="135"/>
    </row>
    <row r="50" spans="1:31" x14ac:dyDescent="0.25">
      <c r="B50" s="154"/>
      <c r="C50" s="10"/>
      <c r="D50" s="40"/>
      <c r="E50" s="40"/>
      <c r="F50" s="40"/>
      <c r="G50" s="40"/>
      <c r="H50" s="228"/>
      <c r="I50" s="40"/>
      <c r="J50" s="40"/>
      <c r="W50" s="131"/>
      <c r="X50" s="10"/>
      <c r="Y50" s="10"/>
      <c r="Z50" s="10"/>
      <c r="AA50" s="10"/>
      <c r="AB50" s="94"/>
      <c r="AC50" s="10"/>
      <c r="AD50" s="2"/>
      <c r="AE50" s="135"/>
    </row>
    <row r="51" spans="1:31" x14ac:dyDescent="0.25">
      <c r="B51" s="154"/>
      <c r="C51" s="10"/>
      <c r="D51" s="40"/>
      <c r="E51" s="40"/>
      <c r="F51" s="40"/>
      <c r="G51" s="40"/>
      <c r="H51" s="228"/>
      <c r="I51" s="40"/>
      <c r="J51" s="40"/>
      <c r="W51" s="131"/>
      <c r="X51" s="10"/>
      <c r="Y51" s="10"/>
      <c r="Z51" s="10"/>
      <c r="AA51" s="10"/>
      <c r="AB51" s="94"/>
      <c r="AC51" s="10"/>
      <c r="AD51" s="2"/>
      <c r="AE51" s="135"/>
    </row>
    <row r="52" spans="1:31" x14ac:dyDescent="0.25">
      <c r="B52" s="154"/>
      <c r="C52" s="10"/>
      <c r="D52" s="40"/>
      <c r="E52" s="40"/>
      <c r="F52" s="40"/>
      <c r="G52" s="40"/>
      <c r="H52" s="228"/>
      <c r="I52" s="40"/>
      <c r="J52" s="40"/>
      <c r="W52" s="131"/>
      <c r="X52" s="10"/>
      <c r="Y52" s="10"/>
      <c r="Z52" s="10"/>
      <c r="AA52" s="10"/>
      <c r="AB52" s="94"/>
      <c r="AC52" s="10"/>
      <c r="AD52" s="2"/>
      <c r="AE52" s="135"/>
    </row>
    <row r="53" spans="1:31" x14ac:dyDescent="0.25">
      <c r="B53" s="154"/>
      <c r="C53" s="10"/>
      <c r="D53" s="40"/>
      <c r="E53" s="40"/>
      <c r="F53" s="40"/>
      <c r="G53" s="40"/>
      <c r="H53" s="228"/>
      <c r="I53" s="40"/>
      <c r="J53" s="40"/>
      <c r="W53" s="131"/>
      <c r="X53" s="10"/>
      <c r="Y53" s="10"/>
      <c r="Z53" s="10"/>
      <c r="AA53" s="10"/>
      <c r="AB53" s="94"/>
      <c r="AC53" s="10"/>
      <c r="AD53" s="2"/>
      <c r="AE53" s="135"/>
    </row>
    <row r="54" spans="1:31" x14ac:dyDescent="0.25">
      <c r="Q54" s="2"/>
      <c r="W54" s="131"/>
      <c r="X54" s="10"/>
      <c r="Y54" s="10"/>
      <c r="Z54" s="10"/>
      <c r="AA54" s="10"/>
      <c r="AB54" s="94"/>
      <c r="AC54" s="10"/>
      <c r="AD54" s="2"/>
      <c r="AE54" s="135"/>
    </row>
    <row r="55" spans="1:31" ht="20.25" thickBot="1" x14ac:dyDescent="0.35">
      <c r="Q55" s="2"/>
      <c r="T55" s="90" t="s">
        <v>112</v>
      </c>
      <c r="W55" s="131"/>
      <c r="X55" s="10"/>
      <c r="Y55" s="10"/>
      <c r="Z55" s="10"/>
      <c r="AA55" s="10"/>
      <c r="AB55" s="94"/>
      <c r="AC55" s="10"/>
      <c r="AD55" s="2"/>
      <c r="AE55" s="135"/>
    </row>
    <row r="56" spans="1:31" ht="15.75" thickTop="1" x14ac:dyDescent="0.25">
      <c r="L56" t="s">
        <v>65</v>
      </c>
      <c r="M56" s="523">
        <f>M83+K83-F83</f>
        <v>3310.4699999999939</v>
      </c>
      <c r="Q56" s="2"/>
      <c r="T56" s="126" t="s">
        <v>97</v>
      </c>
      <c r="U56" s="127">
        <v>29.23</v>
      </c>
      <c r="W56" s="131"/>
      <c r="X56" s="10"/>
      <c r="Y56" s="10"/>
      <c r="Z56" s="10"/>
      <c r="AA56" s="10"/>
      <c r="AB56" s="94"/>
      <c r="AC56" s="10"/>
      <c r="AD56" s="2"/>
      <c r="AE56" s="135"/>
    </row>
    <row r="57" spans="1:31" x14ac:dyDescent="0.25">
      <c r="A57" s="260" t="s">
        <v>1</v>
      </c>
      <c r="B57" s="573" t="s">
        <v>2</v>
      </c>
      <c r="C57" s="260" t="s">
        <v>4</v>
      </c>
      <c r="D57" s="261" t="s">
        <v>5</v>
      </c>
      <c r="E57" s="261" t="s">
        <v>94</v>
      </c>
      <c r="F57" s="261" t="s">
        <v>60</v>
      </c>
      <c r="G57" s="260" t="s">
        <v>3</v>
      </c>
      <c r="H57" s="260" t="s">
        <v>6</v>
      </c>
      <c r="I57" s="261" t="s">
        <v>7</v>
      </c>
      <c r="J57" s="261" t="s">
        <v>95</v>
      </c>
      <c r="K57" s="261" t="s">
        <v>61</v>
      </c>
      <c r="L57" s="260" t="s">
        <v>37</v>
      </c>
      <c r="M57" s="260" t="s">
        <v>38</v>
      </c>
      <c r="Q57" s="2"/>
      <c r="T57" s="92" t="s">
        <v>98</v>
      </c>
      <c r="U57" s="128">
        <v>29.39</v>
      </c>
      <c r="W57" s="131"/>
      <c r="X57" s="10"/>
      <c r="Y57" s="10"/>
      <c r="Z57" s="10"/>
      <c r="AA57" s="10"/>
      <c r="AB57" s="94"/>
      <c r="AC57" s="10"/>
      <c r="AD57" s="2"/>
      <c r="AE57" s="135"/>
    </row>
    <row r="58" spans="1:31" x14ac:dyDescent="0.25">
      <c r="A58" s="262" t="s">
        <v>225</v>
      </c>
      <c r="B58" s="574">
        <v>42545</v>
      </c>
      <c r="C58" s="258">
        <v>100</v>
      </c>
      <c r="D58" s="259">
        <v>25.25</v>
      </c>
      <c r="E58" s="259">
        <v>0</v>
      </c>
      <c r="F58" s="259">
        <f t="shared" ref="F58:F69" si="63">D58*C58+E58</f>
        <v>2525</v>
      </c>
      <c r="G58" s="574">
        <v>42577</v>
      </c>
      <c r="H58" s="264">
        <v>30</v>
      </c>
      <c r="I58" s="259">
        <v>25.81</v>
      </c>
      <c r="J58" s="259">
        <v>0.02</v>
      </c>
      <c r="K58" s="259">
        <f t="shared" ref="K58:K64" si="64">H58*I58-J58</f>
        <v>774.28</v>
      </c>
      <c r="L58" s="263">
        <v>42613</v>
      </c>
      <c r="M58" s="259">
        <v>90</v>
      </c>
      <c r="Q58" s="2"/>
      <c r="T58" s="92" t="s">
        <v>99</v>
      </c>
      <c r="U58" s="128" t="s">
        <v>128</v>
      </c>
      <c r="W58" s="131"/>
      <c r="X58" s="10"/>
      <c r="Y58" s="10"/>
      <c r="Z58" s="10"/>
      <c r="AA58" s="10"/>
      <c r="AB58" s="94"/>
      <c r="AC58" s="10"/>
      <c r="AD58" s="2"/>
      <c r="AE58" s="135"/>
    </row>
    <row r="59" spans="1:31" x14ac:dyDescent="0.25">
      <c r="A59" s="265" t="s">
        <v>71</v>
      </c>
      <c r="B59" s="574">
        <v>42580</v>
      </c>
      <c r="C59" s="258">
        <v>30</v>
      </c>
      <c r="D59" s="259">
        <v>23.78</v>
      </c>
      <c r="E59" s="259">
        <v>0</v>
      </c>
      <c r="F59" s="259">
        <f t="shared" si="63"/>
        <v>713.40000000000009</v>
      </c>
      <c r="G59" s="574">
        <v>42597</v>
      </c>
      <c r="H59" s="264">
        <v>70</v>
      </c>
      <c r="I59" s="259">
        <v>22.94</v>
      </c>
      <c r="J59" s="259">
        <v>0.38</v>
      </c>
      <c r="K59" s="259">
        <f t="shared" si="64"/>
        <v>1605.42</v>
      </c>
      <c r="L59" s="263">
        <v>42704</v>
      </c>
      <c r="M59" s="259">
        <v>102</v>
      </c>
      <c r="Q59" s="2"/>
      <c r="T59" s="92" t="s">
        <v>100</v>
      </c>
      <c r="U59" s="128" t="s">
        <v>128</v>
      </c>
      <c r="W59" s="131"/>
      <c r="X59" s="10"/>
      <c r="Y59" s="10"/>
      <c r="Z59" s="10"/>
      <c r="AA59" s="10"/>
      <c r="AB59" s="94"/>
      <c r="AC59" s="10"/>
      <c r="AD59" s="2"/>
      <c r="AE59" s="135"/>
    </row>
    <row r="60" spans="1:31" x14ac:dyDescent="0.25">
      <c r="A60" s="258"/>
      <c r="B60" s="574">
        <v>42586</v>
      </c>
      <c r="C60" s="258">
        <v>40</v>
      </c>
      <c r="D60" s="259">
        <v>22.65</v>
      </c>
      <c r="E60" s="259">
        <v>0</v>
      </c>
      <c r="F60" s="259">
        <f t="shared" si="63"/>
        <v>906</v>
      </c>
      <c r="G60" s="574">
        <v>42599</v>
      </c>
      <c r="H60" s="264">
        <v>30</v>
      </c>
      <c r="I60" s="259">
        <v>23.48</v>
      </c>
      <c r="J60" s="259">
        <v>0.02</v>
      </c>
      <c r="K60" s="259">
        <f t="shared" si="64"/>
        <v>704.38</v>
      </c>
      <c r="L60" s="258"/>
      <c r="M60" s="258"/>
      <c r="Q60" s="2"/>
      <c r="T60" s="92" t="s">
        <v>101</v>
      </c>
      <c r="U60" s="128">
        <v>33.35</v>
      </c>
      <c r="W60" s="131"/>
      <c r="X60" s="10"/>
      <c r="Y60" s="10"/>
      <c r="Z60" s="10"/>
      <c r="AA60" s="10"/>
      <c r="AB60" s="94"/>
      <c r="AC60" s="10"/>
      <c r="AD60" s="2"/>
      <c r="AE60" s="135"/>
    </row>
    <row r="61" spans="1:31" x14ac:dyDescent="0.25">
      <c r="A61" s="258"/>
      <c r="B61" s="574">
        <v>42586</v>
      </c>
      <c r="C61" s="258">
        <v>60</v>
      </c>
      <c r="D61" s="259">
        <v>22.65</v>
      </c>
      <c r="E61" s="259">
        <v>0</v>
      </c>
      <c r="F61" s="259">
        <f t="shared" si="63"/>
        <v>1359</v>
      </c>
      <c r="G61" s="574">
        <v>42621</v>
      </c>
      <c r="H61" s="264">
        <v>40</v>
      </c>
      <c r="I61" s="259">
        <v>26.28</v>
      </c>
      <c r="J61" s="259">
        <v>0.02</v>
      </c>
      <c r="K61" s="259">
        <f t="shared" si="64"/>
        <v>1051.18</v>
      </c>
      <c r="L61" s="258"/>
      <c r="M61" s="258"/>
      <c r="Q61" s="2"/>
      <c r="T61" s="92" t="s">
        <v>102</v>
      </c>
      <c r="U61" s="128">
        <v>0.84249399999999997</v>
      </c>
      <c r="W61" s="131"/>
      <c r="X61" s="10"/>
      <c r="Y61" s="10"/>
      <c r="Z61" s="10"/>
      <c r="AA61" s="10"/>
      <c r="AB61" s="94"/>
      <c r="AC61" s="10"/>
      <c r="AD61" s="2"/>
      <c r="AE61" s="135"/>
    </row>
    <row r="62" spans="1:31" x14ac:dyDescent="0.25">
      <c r="A62" s="258"/>
      <c r="B62" s="574">
        <v>42586</v>
      </c>
      <c r="C62" s="258">
        <v>100</v>
      </c>
      <c r="D62" s="259">
        <v>20.92</v>
      </c>
      <c r="E62" s="259">
        <v>-0.5</v>
      </c>
      <c r="F62" s="259">
        <f t="shared" si="63"/>
        <v>2091.5</v>
      </c>
      <c r="G62" s="574">
        <v>42639</v>
      </c>
      <c r="H62" s="264">
        <v>100</v>
      </c>
      <c r="I62" s="259">
        <v>22.82</v>
      </c>
      <c r="J62" s="259">
        <v>0.05</v>
      </c>
      <c r="K62" s="259">
        <f t="shared" si="64"/>
        <v>2281.9499999999998</v>
      </c>
      <c r="L62" s="258"/>
      <c r="M62" s="258"/>
      <c r="Q62" s="2"/>
      <c r="T62" s="92" t="s">
        <v>121</v>
      </c>
      <c r="U62" s="128" t="s">
        <v>444</v>
      </c>
      <c r="W62" s="131"/>
      <c r="X62" s="10"/>
      <c r="Y62" s="10"/>
      <c r="Z62" s="10"/>
      <c r="AA62" s="10"/>
      <c r="AB62" s="94"/>
      <c r="AC62" s="10"/>
      <c r="AD62" s="2"/>
      <c r="AE62" s="135"/>
    </row>
    <row r="63" spans="1:31" x14ac:dyDescent="0.25">
      <c r="A63" s="258"/>
      <c r="B63" s="574">
        <v>42626</v>
      </c>
      <c r="C63" s="258">
        <v>40</v>
      </c>
      <c r="D63" s="259">
        <v>24.58</v>
      </c>
      <c r="E63" s="259">
        <v>0</v>
      </c>
      <c r="F63" s="259">
        <f t="shared" si="63"/>
        <v>983.19999999999993</v>
      </c>
      <c r="G63" s="574">
        <v>42643</v>
      </c>
      <c r="H63" s="264">
        <v>60</v>
      </c>
      <c r="I63" s="259">
        <v>24.72</v>
      </c>
      <c r="J63" s="259">
        <v>0.03</v>
      </c>
      <c r="K63" s="259">
        <f t="shared" si="64"/>
        <v>1483.1699999999998</v>
      </c>
      <c r="L63" s="258"/>
      <c r="M63" s="258"/>
      <c r="Q63" s="2"/>
      <c r="T63" s="92"/>
      <c r="U63" s="128"/>
      <c r="W63" s="131"/>
      <c r="X63" s="10"/>
      <c r="Y63" s="10"/>
      <c r="Z63" s="10"/>
      <c r="AA63" s="10"/>
      <c r="AB63" s="94"/>
      <c r="AC63" s="10"/>
      <c r="AD63" s="2"/>
      <c r="AE63" s="135"/>
    </row>
    <row r="64" spans="1:31" x14ac:dyDescent="0.25">
      <c r="A64" s="258"/>
      <c r="B64" s="574">
        <v>42639</v>
      </c>
      <c r="C64" s="258">
        <v>100</v>
      </c>
      <c r="D64" s="259">
        <v>22.28</v>
      </c>
      <c r="E64" s="259">
        <v>0</v>
      </c>
      <c r="F64" s="259">
        <f t="shared" si="63"/>
        <v>2228</v>
      </c>
      <c r="G64" s="574">
        <v>42663</v>
      </c>
      <c r="H64" s="264">
        <v>40</v>
      </c>
      <c r="I64" s="259">
        <v>24.78</v>
      </c>
      <c r="J64" s="259">
        <v>0.02</v>
      </c>
      <c r="K64" s="259">
        <f t="shared" si="64"/>
        <v>991.18000000000006</v>
      </c>
      <c r="L64" s="258"/>
      <c r="M64" s="258"/>
      <c r="Q64" s="2"/>
      <c r="T64" s="92" t="s">
        <v>104</v>
      </c>
      <c r="U64" s="128" t="s">
        <v>689</v>
      </c>
      <c r="W64" s="131"/>
      <c r="X64" s="10"/>
      <c r="Y64" s="10"/>
      <c r="Z64" s="10"/>
      <c r="AA64" s="10"/>
      <c r="AB64" s="94"/>
      <c r="AC64" s="10"/>
      <c r="AD64" s="2"/>
      <c r="AE64" s="135"/>
    </row>
    <row r="65" spans="1:31" x14ac:dyDescent="0.25">
      <c r="A65" s="258"/>
      <c r="B65" s="574">
        <v>42643</v>
      </c>
      <c r="C65" s="258">
        <v>60</v>
      </c>
      <c r="D65" s="259">
        <v>24.3</v>
      </c>
      <c r="E65" s="259">
        <v>0</v>
      </c>
      <c r="F65" s="259">
        <f t="shared" si="63"/>
        <v>1458</v>
      </c>
      <c r="G65" s="574">
        <v>42675</v>
      </c>
      <c r="H65" s="264">
        <v>100</v>
      </c>
      <c r="I65" s="259">
        <v>24.75</v>
      </c>
      <c r="J65" s="259">
        <v>0.05</v>
      </c>
      <c r="K65" s="259">
        <f>H65*I65-J65</f>
        <v>2474.9499999999998</v>
      </c>
      <c r="L65" s="258"/>
      <c r="M65" s="258"/>
      <c r="Q65" s="2"/>
      <c r="T65" s="92" t="s">
        <v>105</v>
      </c>
      <c r="U65" s="128" t="s">
        <v>500</v>
      </c>
      <c r="W65" s="131"/>
      <c r="X65" s="10"/>
      <c r="Y65" s="10"/>
      <c r="Z65" s="10"/>
      <c r="AA65" s="10"/>
      <c r="AB65" s="94"/>
      <c r="AC65" s="10"/>
      <c r="AD65" s="2"/>
      <c r="AE65" s="135"/>
    </row>
    <row r="66" spans="1:31" x14ac:dyDescent="0.25">
      <c r="A66" s="258"/>
      <c r="B66" s="574">
        <v>42655</v>
      </c>
      <c r="C66" s="258">
        <v>100</v>
      </c>
      <c r="D66" s="259">
        <v>22.56</v>
      </c>
      <c r="E66" s="259">
        <v>0</v>
      </c>
      <c r="F66" s="259">
        <f t="shared" si="63"/>
        <v>2256</v>
      </c>
      <c r="G66" s="574">
        <v>42677</v>
      </c>
      <c r="H66" s="264">
        <v>60</v>
      </c>
      <c r="I66" s="259">
        <v>23.16</v>
      </c>
      <c r="J66" s="259">
        <v>0.03</v>
      </c>
      <c r="K66" s="259">
        <f>H66*I66-J66</f>
        <v>1389.57</v>
      </c>
      <c r="L66" s="258"/>
      <c r="M66" s="258"/>
      <c r="Q66" s="2"/>
      <c r="T66" s="92" t="s">
        <v>106</v>
      </c>
      <c r="U66" s="129">
        <v>3892969</v>
      </c>
      <c r="W66" s="131"/>
      <c r="X66" s="10"/>
      <c r="Y66" s="10"/>
      <c r="Z66" s="10"/>
      <c r="AA66" s="10"/>
      <c r="AB66" s="94"/>
      <c r="AC66" s="10"/>
      <c r="AD66" s="2"/>
      <c r="AE66" s="135"/>
    </row>
    <row r="67" spans="1:31" x14ac:dyDescent="0.25">
      <c r="A67" s="258"/>
      <c r="B67" s="574">
        <v>42674</v>
      </c>
      <c r="C67" s="258">
        <v>40</v>
      </c>
      <c r="D67" s="259">
        <v>24.16</v>
      </c>
      <c r="E67" s="259">
        <v>-0.1</v>
      </c>
      <c r="F67" s="259">
        <f t="shared" si="63"/>
        <v>966.3</v>
      </c>
      <c r="G67" s="574">
        <v>42688</v>
      </c>
      <c r="H67" s="264">
        <v>100</v>
      </c>
      <c r="I67" s="259">
        <v>28</v>
      </c>
      <c r="J67" s="259">
        <v>0.06</v>
      </c>
      <c r="K67" s="259">
        <f>H67*I67-J67</f>
        <v>2799.94</v>
      </c>
      <c r="L67" s="258"/>
      <c r="M67" s="258"/>
      <c r="T67" s="92" t="s">
        <v>109</v>
      </c>
      <c r="U67" s="129">
        <v>5373180</v>
      </c>
      <c r="W67" s="131"/>
      <c r="X67" s="10"/>
      <c r="Y67" s="10"/>
      <c r="Z67" s="10"/>
      <c r="AA67" s="10"/>
      <c r="AB67" s="94"/>
      <c r="AC67" s="10"/>
      <c r="AD67" s="2"/>
      <c r="AE67" s="135"/>
    </row>
    <row r="68" spans="1:31" x14ac:dyDescent="0.25">
      <c r="A68" s="258"/>
      <c r="B68" s="574">
        <v>42675</v>
      </c>
      <c r="C68" s="258">
        <v>100</v>
      </c>
      <c r="D68" s="259">
        <v>24.53</v>
      </c>
      <c r="E68" s="259">
        <v>0</v>
      </c>
      <c r="F68" s="259">
        <f>D68*C68+E68</f>
        <v>2453</v>
      </c>
      <c r="G68" s="574">
        <v>42705</v>
      </c>
      <c r="H68" s="264">
        <v>40</v>
      </c>
      <c r="I68" s="259">
        <v>29.58</v>
      </c>
      <c r="J68" s="259">
        <v>0.03</v>
      </c>
      <c r="K68" s="259">
        <f>H68*I68-J68</f>
        <v>1183.1699999999998</v>
      </c>
      <c r="L68" s="258"/>
      <c r="M68" s="258"/>
      <c r="T68" s="92" t="s">
        <v>107</v>
      </c>
      <c r="U68" s="128" t="s">
        <v>690</v>
      </c>
      <c r="W68" s="131"/>
      <c r="X68" s="10"/>
      <c r="Y68" s="10"/>
      <c r="Z68" s="10"/>
      <c r="AA68" s="10"/>
      <c r="AB68" s="94"/>
      <c r="AC68" s="10"/>
      <c r="AD68" s="2"/>
      <c r="AE68" s="135"/>
    </row>
    <row r="69" spans="1:31" x14ac:dyDescent="0.25">
      <c r="A69" s="258"/>
      <c r="B69" s="574">
        <v>42677</v>
      </c>
      <c r="C69" s="258">
        <v>100</v>
      </c>
      <c r="D69" s="259">
        <v>22.38</v>
      </c>
      <c r="E69" s="259">
        <v>0</v>
      </c>
      <c r="F69" s="259">
        <f t="shared" si="63"/>
        <v>2238</v>
      </c>
      <c r="G69" s="574">
        <v>42711</v>
      </c>
      <c r="H69" s="264">
        <v>200</v>
      </c>
      <c r="I69" s="259">
        <v>29.9</v>
      </c>
      <c r="J69" s="259">
        <v>0.13</v>
      </c>
      <c r="K69" s="259">
        <f>H69*I69-J69</f>
        <v>5979.87</v>
      </c>
      <c r="L69" s="258"/>
      <c r="M69" s="258"/>
      <c r="T69" s="92" t="s">
        <v>110</v>
      </c>
      <c r="U69" s="128" t="s">
        <v>128</v>
      </c>
      <c r="W69" s="131"/>
      <c r="X69" s="10"/>
      <c r="Y69" s="10"/>
      <c r="Z69" s="10"/>
      <c r="AA69" s="10"/>
      <c r="AB69" s="94"/>
      <c r="AC69" s="10"/>
      <c r="AD69" s="2"/>
      <c r="AE69" s="135"/>
    </row>
    <row r="70" spans="1:31" x14ac:dyDescent="0.25">
      <c r="A70" s="258"/>
      <c r="B70" s="574"/>
      <c r="C70" s="258"/>
      <c r="D70" s="259"/>
      <c r="E70" s="259"/>
      <c r="F70" s="259"/>
      <c r="G70" s="574"/>
      <c r="H70" s="264"/>
      <c r="I70" s="259"/>
      <c r="J70" s="259"/>
      <c r="K70" s="259"/>
      <c r="L70" s="258"/>
      <c r="M70" s="258"/>
      <c r="T70" s="92" t="s">
        <v>111</v>
      </c>
      <c r="U70" s="128">
        <v>-1.19</v>
      </c>
    </row>
    <row r="71" spans="1:31" x14ac:dyDescent="0.25">
      <c r="A71" s="258"/>
      <c r="B71" s="589">
        <v>42716</v>
      </c>
      <c r="C71" s="590">
        <v>100</v>
      </c>
      <c r="D71" s="591">
        <v>29.49</v>
      </c>
      <c r="E71" s="591">
        <v>0</v>
      </c>
      <c r="F71" s="591">
        <f>D71*C71+E71</f>
        <v>2949</v>
      </c>
      <c r="G71" s="589">
        <v>42720</v>
      </c>
      <c r="H71" s="592">
        <v>100</v>
      </c>
      <c r="I71" s="591">
        <v>29.36</v>
      </c>
      <c r="J71" s="591">
        <v>0.06</v>
      </c>
      <c r="K71" s="591">
        <f>I71*H71-J71</f>
        <v>2935.94</v>
      </c>
      <c r="L71" s="593"/>
      <c r="M71" s="591"/>
      <c r="T71" s="92" t="s">
        <v>108</v>
      </c>
      <c r="U71" s="128" t="s">
        <v>589</v>
      </c>
    </row>
    <row r="72" spans="1:31" x14ac:dyDescent="0.25">
      <c r="A72" s="258"/>
      <c r="B72" s="589">
        <v>42716</v>
      </c>
      <c r="C72" s="590">
        <v>100</v>
      </c>
      <c r="D72" s="591">
        <v>29.08</v>
      </c>
      <c r="E72" s="591">
        <v>0</v>
      </c>
      <c r="F72" s="591">
        <f>D72*C72+E72</f>
        <v>2908</v>
      </c>
      <c r="G72" s="589">
        <v>42724</v>
      </c>
      <c r="H72" s="592">
        <v>100</v>
      </c>
      <c r="I72" s="591">
        <v>28.98</v>
      </c>
      <c r="J72" s="591">
        <v>0.06</v>
      </c>
      <c r="K72" s="591">
        <f>I72*H72-J72</f>
        <v>2897.94</v>
      </c>
      <c r="L72" s="593"/>
      <c r="M72" s="591"/>
    </row>
    <row r="73" spans="1:31" x14ac:dyDescent="0.25">
      <c r="A73" s="258"/>
      <c r="B73" s="589">
        <v>42723</v>
      </c>
      <c r="C73" s="590">
        <v>100</v>
      </c>
      <c r="D73" s="591">
        <v>28.28</v>
      </c>
      <c r="E73" s="591">
        <v>0</v>
      </c>
      <c r="F73" s="591">
        <f>D73*C73+E73</f>
        <v>2828</v>
      </c>
      <c r="G73" s="589">
        <v>42755</v>
      </c>
      <c r="H73" s="592">
        <v>100</v>
      </c>
      <c r="I73" s="591">
        <v>34.28</v>
      </c>
      <c r="J73" s="591">
        <v>7.0000000000000007E-2</v>
      </c>
      <c r="K73" s="591">
        <f>I73*H73-J73</f>
        <v>3427.93</v>
      </c>
      <c r="L73" s="590"/>
      <c r="M73" s="590"/>
    </row>
    <row r="74" spans="1:31" x14ac:dyDescent="0.25">
      <c r="A74" s="258"/>
      <c r="B74" s="589"/>
      <c r="C74" s="590"/>
      <c r="D74" s="591"/>
      <c r="E74" s="591"/>
      <c r="F74" s="591"/>
      <c r="G74" s="589"/>
      <c r="H74" s="592"/>
      <c r="I74" s="591"/>
      <c r="J74" s="591"/>
      <c r="K74" s="591"/>
      <c r="L74" s="590"/>
      <c r="M74" s="590"/>
    </row>
    <row r="75" spans="1:31" x14ac:dyDescent="0.25">
      <c r="A75" s="258"/>
      <c r="B75" s="589"/>
      <c r="C75" s="590"/>
      <c r="D75" s="591"/>
      <c r="E75" s="591"/>
      <c r="F75" s="591"/>
      <c r="G75" s="589"/>
      <c r="H75" s="592"/>
      <c r="I75" s="591"/>
      <c r="J75" s="591"/>
      <c r="K75" s="591"/>
      <c r="L75" s="590"/>
      <c r="M75" s="590"/>
    </row>
    <row r="76" spans="1:31" x14ac:dyDescent="0.25">
      <c r="A76" s="258"/>
      <c r="B76" s="589"/>
      <c r="C76" s="590"/>
      <c r="D76" s="591"/>
      <c r="E76" s="591"/>
      <c r="F76" s="591"/>
      <c r="G76" s="589"/>
      <c r="H76" s="592"/>
      <c r="I76" s="591"/>
      <c r="J76" s="591"/>
      <c r="K76" s="591"/>
      <c r="L76" s="590"/>
      <c r="M76" s="590"/>
    </row>
    <row r="77" spans="1:31" x14ac:dyDescent="0.25">
      <c r="A77" s="258"/>
      <c r="B77" s="574"/>
      <c r="C77" s="258"/>
      <c r="D77" s="259"/>
      <c r="E77" s="259"/>
      <c r="F77" s="259"/>
      <c r="G77" s="574"/>
      <c r="H77" s="264"/>
      <c r="I77" s="259"/>
      <c r="J77" s="259"/>
      <c r="K77" s="259"/>
      <c r="L77" s="258"/>
      <c r="M77" s="258"/>
      <c r="S77" t="s">
        <v>228</v>
      </c>
    </row>
    <row r="78" spans="1:31" x14ac:dyDescent="0.25">
      <c r="A78" s="258"/>
      <c r="B78" s="574"/>
      <c r="C78" s="258"/>
      <c r="D78" s="259"/>
      <c r="E78" s="259"/>
      <c r="F78" s="259"/>
      <c r="G78" s="574"/>
      <c r="H78" s="264"/>
      <c r="I78" s="259"/>
      <c r="J78" s="259"/>
      <c r="K78" s="259"/>
      <c r="L78" s="258"/>
      <c r="M78" s="258"/>
    </row>
    <row r="79" spans="1:31" x14ac:dyDescent="0.25">
      <c r="A79" s="258"/>
      <c r="B79" s="574"/>
      <c r="C79" s="258"/>
      <c r="D79" s="259"/>
      <c r="E79" s="259"/>
      <c r="F79" s="259"/>
      <c r="G79" s="574"/>
      <c r="H79" s="264"/>
      <c r="I79" s="259"/>
      <c r="J79" s="259"/>
      <c r="K79" s="259"/>
      <c r="L79" s="258"/>
      <c r="M79" s="258"/>
    </row>
    <row r="80" spans="1:31" x14ac:dyDescent="0.25">
      <c r="A80" s="258"/>
      <c r="B80" s="574"/>
      <c r="C80" s="258"/>
      <c r="D80" s="259"/>
      <c r="E80" s="259"/>
      <c r="F80" s="259"/>
      <c r="G80" s="574"/>
      <c r="H80" s="264"/>
      <c r="I80" s="259"/>
      <c r="J80" s="259"/>
      <c r="K80" s="259"/>
      <c r="L80" s="258"/>
      <c r="M80" s="258"/>
    </row>
    <row r="81" spans="1:13" x14ac:dyDescent="0.25">
      <c r="A81" s="258"/>
      <c r="B81" s="574"/>
      <c r="C81" s="258"/>
      <c r="D81" s="259"/>
      <c r="E81" s="259"/>
      <c r="F81" s="259"/>
      <c r="G81" s="574"/>
      <c r="H81" s="264"/>
      <c r="I81" s="259"/>
      <c r="J81" s="259"/>
      <c r="K81" s="259"/>
      <c r="L81" s="258"/>
      <c r="M81" s="258"/>
    </row>
    <row r="82" spans="1:13" x14ac:dyDescent="0.25">
      <c r="A82" s="258"/>
      <c r="B82" s="574"/>
      <c r="C82" s="258"/>
      <c r="D82" s="259"/>
      <c r="E82" s="259"/>
      <c r="F82" s="259"/>
      <c r="G82" s="574"/>
      <c r="H82" s="258"/>
      <c r="I82" s="259"/>
      <c r="J82" s="259"/>
      <c r="K82" s="259"/>
      <c r="L82" s="258"/>
      <c r="M82" s="258"/>
    </row>
    <row r="83" spans="1:13" x14ac:dyDescent="0.25">
      <c r="A83" s="32" t="s">
        <v>81</v>
      </c>
      <c r="B83" s="500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0" t="s">
        <v>195</v>
      </c>
      <c r="B84" s="575"/>
      <c r="C84" s="462">
        <f>SumByColor($A$19,C58:C82)</f>
        <v>0</v>
      </c>
      <c r="D84" s="462"/>
      <c r="E84" s="462"/>
      <c r="F84" s="463">
        <f>SumByColor($A$19,F58:F82)</f>
        <v>0</v>
      </c>
      <c r="G84" s="462"/>
      <c r="H84" s="462">
        <f>SumByColor($A$19,H58:H82)</f>
        <v>0</v>
      </c>
      <c r="I84" s="462"/>
      <c r="J84" s="462"/>
      <c r="K84" s="463">
        <f>SumByColor($A$19,K58:K82)</f>
        <v>0</v>
      </c>
      <c r="L84" s="462"/>
      <c r="M84" s="463">
        <f>SumByColor($A$19,M58:M82)</f>
        <v>0</v>
      </c>
    </row>
    <row r="91" spans="1:13" x14ac:dyDescent="0.25">
      <c r="B91" s="502" t="s">
        <v>113</v>
      </c>
      <c r="C91" s="188" t="s">
        <v>146</v>
      </c>
      <c r="D91" s="189" t="s">
        <v>145</v>
      </c>
      <c r="E91" s="191" t="s">
        <v>147</v>
      </c>
      <c r="F91" s="191" t="s">
        <v>65</v>
      </c>
      <c r="G91" s="226" t="s">
        <v>151</v>
      </c>
      <c r="H91" s="226" t="s">
        <v>88</v>
      </c>
      <c r="I91" s="226" t="s">
        <v>154</v>
      </c>
      <c r="J91" s="226" t="s">
        <v>538</v>
      </c>
    </row>
    <row r="92" spans="1:13" x14ac:dyDescent="0.25">
      <c r="B92" s="647"/>
      <c r="C92" s="376"/>
      <c r="D92" s="377"/>
      <c r="E92" s="377"/>
      <c r="F92" s="377"/>
      <c r="G92" s="376"/>
      <c r="H92" s="376"/>
      <c r="I92" s="377"/>
      <c r="J92" s="377"/>
    </row>
    <row r="93" spans="1:13" x14ac:dyDescent="0.25">
      <c r="B93" s="647">
        <v>42545</v>
      </c>
      <c r="C93" s="376">
        <v>100</v>
      </c>
      <c r="D93" s="377">
        <v>25.25</v>
      </c>
      <c r="E93" s="377">
        <v>25.43</v>
      </c>
      <c r="F93" s="377">
        <f t="shared" ref="F93:F154" si="65">C93*(E93-D93)</f>
        <v>17.999999999999972</v>
      </c>
      <c r="G93" s="377">
        <f t="shared" ref="G93:G154" si="66">D93*C93</f>
        <v>2525</v>
      </c>
      <c r="H93" s="378">
        <f t="shared" ref="H93:H154" si="67">(E93-D93)/D93</f>
        <v>7.1287128712871177E-3</v>
      </c>
      <c r="I93" s="377"/>
      <c r="J93" s="377"/>
    </row>
    <row r="94" spans="1:13" x14ac:dyDescent="0.25">
      <c r="B94" s="647">
        <v>42548</v>
      </c>
      <c r="C94" s="376">
        <v>100</v>
      </c>
      <c r="D94" s="377">
        <v>25.25</v>
      </c>
      <c r="E94" s="377">
        <v>23.48</v>
      </c>
      <c r="F94" s="377">
        <f t="shared" si="65"/>
        <v>-176.99999999999994</v>
      </c>
      <c r="G94" s="377">
        <f t="shared" si="66"/>
        <v>2525</v>
      </c>
      <c r="H94" s="378">
        <f t="shared" si="67"/>
        <v>-7.0099009900990078E-2</v>
      </c>
      <c r="I94" s="377"/>
      <c r="J94" s="377"/>
    </row>
    <row r="95" spans="1:13" x14ac:dyDescent="0.25">
      <c r="B95" s="647">
        <v>42549</v>
      </c>
      <c r="C95" s="376">
        <v>100</v>
      </c>
      <c r="D95" s="377">
        <v>25.25</v>
      </c>
      <c r="E95" s="377">
        <v>24.06</v>
      </c>
      <c r="F95" s="377">
        <f t="shared" si="65"/>
        <v>-119.00000000000013</v>
      </c>
      <c r="G95" s="377">
        <f t="shared" si="66"/>
        <v>2525</v>
      </c>
      <c r="H95" s="378">
        <f t="shared" si="67"/>
        <v>-4.7128712871287178E-2</v>
      </c>
      <c r="I95" s="377"/>
      <c r="J95" s="377"/>
    </row>
    <row r="96" spans="1:13" x14ac:dyDescent="0.25">
      <c r="B96" s="647">
        <v>42556</v>
      </c>
      <c r="C96" s="376">
        <v>100</v>
      </c>
      <c r="D96" s="377">
        <v>25.25</v>
      </c>
      <c r="E96" s="377">
        <v>23.54</v>
      </c>
      <c r="F96" s="377">
        <f t="shared" si="65"/>
        <v>-171.00000000000009</v>
      </c>
      <c r="G96" s="377">
        <f t="shared" si="66"/>
        <v>2525</v>
      </c>
      <c r="H96" s="378">
        <f t="shared" si="67"/>
        <v>-6.7722772277227755E-2</v>
      </c>
      <c r="I96" s="377"/>
      <c r="J96" s="377"/>
    </row>
    <row r="97" spans="2:10" x14ac:dyDescent="0.25">
      <c r="B97" s="647">
        <v>42557</v>
      </c>
      <c r="C97" s="376">
        <v>100</v>
      </c>
      <c r="D97" s="377">
        <v>25.25</v>
      </c>
      <c r="E97" s="377">
        <v>23.75</v>
      </c>
      <c r="F97" s="377">
        <f t="shared" si="65"/>
        <v>-150</v>
      </c>
      <c r="G97" s="377">
        <f t="shared" si="66"/>
        <v>2525</v>
      </c>
      <c r="H97" s="378">
        <f t="shared" si="67"/>
        <v>-5.9405940594059403E-2</v>
      </c>
      <c r="I97" s="377"/>
      <c r="J97" s="377"/>
    </row>
    <row r="98" spans="2:10" x14ac:dyDescent="0.25">
      <c r="B98" s="647">
        <v>42559</v>
      </c>
      <c r="C98" s="376">
        <v>100</v>
      </c>
      <c r="D98" s="377">
        <v>25.25</v>
      </c>
      <c r="E98" s="377">
        <v>24.86</v>
      </c>
      <c r="F98" s="377">
        <f t="shared" si="65"/>
        <v>-39.000000000000057</v>
      </c>
      <c r="G98" s="377">
        <f t="shared" si="66"/>
        <v>2525</v>
      </c>
      <c r="H98" s="378">
        <f t="shared" si="67"/>
        <v>-1.5445544554455468E-2</v>
      </c>
      <c r="I98" s="377"/>
      <c r="J98" s="377"/>
    </row>
    <row r="99" spans="2:10" x14ac:dyDescent="0.25">
      <c r="B99" s="647">
        <v>42562</v>
      </c>
      <c r="C99" s="376">
        <v>100</v>
      </c>
      <c r="D99" s="377">
        <v>25.25</v>
      </c>
      <c r="E99" s="377">
        <v>24.67</v>
      </c>
      <c r="F99" s="377">
        <f t="shared" si="65"/>
        <v>-57.999999999999829</v>
      </c>
      <c r="G99" s="377">
        <f t="shared" si="66"/>
        <v>2525</v>
      </c>
      <c r="H99" s="378">
        <f t="shared" si="67"/>
        <v>-2.2970297029702904E-2</v>
      </c>
      <c r="I99" s="377"/>
      <c r="J99" s="377"/>
    </row>
    <row r="100" spans="2:10" x14ac:dyDescent="0.25">
      <c r="B100" s="647">
        <v>42563</v>
      </c>
      <c r="C100" s="376">
        <v>100</v>
      </c>
      <c r="D100" s="377">
        <v>25.25</v>
      </c>
      <c r="E100" s="377">
        <v>26.03</v>
      </c>
      <c r="F100" s="377">
        <f t="shared" si="65"/>
        <v>78.000000000000114</v>
      </c>
      <c r="G100" s="377">
        <f t="shared" si="66"/>
        <v>2525</v>
      </c>
      <c r="H100" s="378">
        <f t="shared" si="67"/>
        <v>3.0891089108910936E-2</v>
      </c>
      <c r="I100" s="377"/>
      <c r="J100" s="377"/>
    </row>
    <row r="101" spans="2:10" x14ac:dyDescent="0.25">
      <c r="B101" s="647">
        <v>42569</v>
      </c>
      <c r="C101" s="376">
        <v>100</v>
      </c>
      <c r="D101" s="377">
        <v>25.25</v>
      </c>
      <c r="E101" s="377">
        <v>27.69</v>
      </c>
      <c r="F101" s="377">
        <f t="shared" si="65"/>
        <v>244.00000000000011</v>
      </c>
      <c r="G101" s="377">
        <f t="shared" si="66"/>
        <v>2525</v>
      </c>
      <c r="H101" s="378">
        <f t="shared" si="67"/>
        <v>9.6633663366336678E-2</v>
      </c>
      <c r="I101" s="464">
        <v>23</v>
      </c>
      <c r="J101" s="377"/>
    </row>
    <row r="102" spans="2:10" x14ac:dyDescent="0.25">
      <c r="B102" s="647">
        <v>42570</v>
      </c>
      <c r="C102" s="376">
        <v>100</v>
      </c>
      <c r="D102" s="377">
        <v>25.25</v>
      </c>
      <c r="E102" s="377">
        <v>26.55</v>
      </c>
      <c r="F102" s="377">
        <f t="shared" si="65"/>
        <v>130.00000000000006</v>
      </c>
      <c r="G102" s="377">
        <f t="shared" si="66"/>
        <v>2525</v>
      </c>
      <c r="H102" s="378">
        <f t="shared" si="67"/>
        <v>5.148514851485151E-2</v>
      </c>
      <c r="I102" s="377"/>
      <c r="J102" s="377"/>
    </row>
    <row r="103" spans="2:10" x14ac:dyDescent="0.25">
      <c r="B103" s="647">
        <v>42571</v>
      </c>
      <c r="C103" s="376">
        <v>100</v>
      </c>
      <c r="D103" s="377">
        <v>25.25</v>
      </c>
      <c r="E103" s="377">
        <v>26.61</v>
      </c>
      <c r="F103" s="377">
        <f t="shared" si="65"/>
        <v>135.99999999999994</v>
      </c>
      <c r="G103" s="377">
        <f t="shared" si="66"/>
        <v>2525</v>
      </c>
      <c r="H103" s="378">
        <f t="shared" si="67"/>
        <v>5.386138613861384E-2</v>
      </c>
      <c r="I103" s="377"/>
      <c r="J103" s="377"/>
    </row>
    <row r="104" spans="2:10" x14ac:dyDescent="0.25">
      <c r="B104" s="647">
        <v>42572</v>
      </c>
      <c r="C104" s="376">
        <v>100</v>
      </c>
      <c r="D104" s="377">
        <v>25.25</v>
      </c>
      <c r="E104" s="377">
        <v>26.29</v>
      </c>
      <c r="F104" s="377">
        <f t="shared" si="65"/>
        <v>103.99999999999991</v>
      </c>
      <c r="G104" s="377">
        <f t="shared" si="66"/>
        <v>2525</v>
      </c>
      <c r="H104" s="378">
        <f t="shared" si="67"/>
        <v>4.1188118811881155E-2</v>
      </c>
      <c r="I104" s="377"/>
      <c r="J104" s="377"/>
    </row>
    <row r="105" spans="2:10" x14ac:dyDescent="0.25">
      <c r="B105" s="647">
        <v>42575</v>
      </c>
      <c r="C105" s="376">
        <v>100</v>
      </c>
      <c r="D105" s="377">
        <v>25.25</v>
      </c>
      <c r="E105" s="377">
        <v>25.18</v>
      </c>
      <c r="F105" s="377">
        <f t="shared" si="65"/>
        <v>-7.0000000000000284</v>
      </c>
      <c r="G105" s="377">
        <f t="shared" si="66"/>
        <v>2525</v>
      </c>
      <c r="H105" s="378">
        <f t="shared" si="67"/>
        <v>-2.7722772277227834E-3</v>
      </c>
      <c r="I105" s="377"/>
      <c r="J105" s="377"/>
    </row>
    <row r="106" spans="2:10" x14ac:dyDescent="0.25">
      <c r="B106" s="647">
        <v>42576</v>
      </c>
      <c r="C106" s="376">
        <v>100</v>
      </c>
      <c r="D106" s="377">
        <v>25.25</v>
      </c>
      <c r="E106" s="377">
        <v>25.33</v>
      </c>
      <c r="F106" s="377">
        <f t="shared" si="65"/>
        <v>7.9999999999998295</v>
      </c>
      <c r="G106" s="377">
        <f t="shared" si="66"/>
        <v>2525</v>
      </c>
      <c r="H106" s="378">
        <f t="shared" si="67"/>
        <v>3.1683168316831009E-3</v>
      </c>
      <c r="I106" s="377"/>
      <c r="J106" s="377"/>
    </row>
    <row r="107" spans="2:10" x14ac:dyDescent="0.25">
      <c r="B107" s="647">
        <v>42577</v>
      </c>
      <c r="C107" s="376">
        <v>70</v>
      </c>
      <c r="D107" s="377">
        <v>25.010300000000001</v>
      </c>
      <c r="E107" s="377">
        <v>25.8</v>
      </c>
      <c r="F107" s="377">
        <f t="shared" si="65"/>
        <v>55.278999999999989</v>
      </c>
      <c r="G107" s="377">
        <f t="shared" si="66"/>
        <v>1750.721</v>
      </c>
      <c r="H107" s="378">
        <f t="shared" si="67"/>
        <v>3.1574991103665281E-2</v>
      </c>
      <c r="I107" s="377"/>
      <c r="J107" s="377"/>
    </row>
    <row r="108" spans="2:10" x14ac:dyDescent="0.25">
      <c r="B108" s="647">
        <v>42580</v>
      </c>
      <c r="C108" s="376">
        <v>100</v>
      </c>
      <c r="D108" s="377">
        <v>24.641200000000001</v>
      </c>
      <c r="E108" s="377">
        <v>24.68</v>
      </c>
      <c r="F108" s="377">
        <f t="shared" si="65"/>
        <v>3.8799999999998391</v>
      </c>
      <c r="G108" s="377">
        <f t="shared" si="66"/>
        <v>2464.1200000000003</v>
      </c>
      <c r="H108" s="378">
        <f t="shared" si="67"/>
        <v>1.5745986396765738E-3</v>
      </c>
      <c r="I108" s="377"/>
      <c r="J108" s="377"/>
    </row>
    <row r="109" spans="2:10" x14ac:dyDescent="0.25">
      <c r="B109" s="647">
        <v>42585</v>
      </c>
      <c r="C109" s="376">
        <v>100</v>
      </c>
      <c r="D109" s="377">
        <v>24.641200000000001</v>
      </c>
      <c r="E109" s="377">
        <v>24.49</v>
      </c>
      <c r="F109" s="377">
        <f t="shared" si="65"/>
        <v>-15.120000000000289</v>
      </c>
      <c r="G109" s="377">
        <f t="shared" si="66"/>
        <v>2464.1200000000003</v>
      </c>
      <c r="H109" s="378">
        <f t="shared" si="67"/>
        <v>-6.1360648020389787E-3</v>
      </c>
      <c r="I109" s="377"/>
      <c r="J109" s="377"/>
    </row>
    <row r="110" spans="2:10" x14ac:dyDescent="0.25">
      <c r="B110" s="647">
        <v>42586</v>
      </c>
      <c r="C110" s="376">
        <v>200</v>
      </c>
      <c r="D110" s="377">
        <v>23.6431</v>
      </c>
      <c r="E110" s="377">
        <v>21.43</v>
      </c>
      <c r="F110" s="377">
        <f t="shared" si="65"/>
        <v>-442.62000000000012</v>
      </c>
      <c r="G110" s="377">
        <f t="shared" si="66"/>
        <v>4728.62</v>
      </c>
      <c r="H110" s="378">
        <f t="shared" si="67"/>
        <v>-9.360447657033133E-2</v>
      </c>
      <c r="I110" s="377"/>
      <c r="J110" s="377"/>
    </row>
    <row r="111" spans="2:10" x14ac:dyDescent="0.25">
      <c r="B111" s="647">
        <v>42586</v>
      </c>
      <c r="C111" s="376">
        <v>300</v>
      </c>
      <c r="D111" s="377">
        <v>22.735399999999998</v>
      </c>
      <c r="E111" s="377">
        <v>21.43</v>
      </c>
      <c r="F111" s="377">
        <f t="shared" si="65"/>
        <v>-391.61999999999966</v>
      </c>
      <c r="G111" s="377">
        <f t="shared" si="66"/>
        <v>6820.62</v>
      </c>
      <c r="H111" s="378">
        <f t="shared" si="67"/>
        <v>-5.7417067656605945E-2</v>
      </c>
      <c r="I111" s="377"/>
      <c r="J111" s="377"/>
    </row>
    <row r="112" spans="2:10" x14ac:dyDescent="0.25">
      <c r="B112" s="647">
        <v>42591</v>
      </c>
      <c r="C112" s="376">
        <v>300</v>
      </c>
      <c r="D112" s="377">
        <v>22.735399999999998</v>
      </c>
      <c r="E112" s="377">
        <v>22.12</v>
      </c>
      <c r="F112" s="377">
        <f t="shared" si="65"/>
        <v>-184.61999999999927</v>
      </c>
      <c r="G112" s="377">
        <f t="shared" si="66"/>
        <v>6820.62</v>
      </c>
      <c r="H112" s="378">
        <f t="shared" si="67"/>
        <v>-2.7067920511624936E-2</v>
      </c>
      <c r="I112" s="377"/>
      <c r="J112" s="377"/>
    </row>
    <row r="113" spans="2:10" x14ac:dyDescent="0.25">
      <c r="B113" s="647">
        <v>42593</v>
      </c>
      <c r="C113" s="376">
        <v>300</v>
      </c>
      <c r="D113" s="377">
        <v>22.735399999999998</v>
      </c>
      <c r="E113" s="377">
        <v>21.57</v>
      </c>
      <c r="F113" s="377">
        <f t="shared" si="65"/>
        <v>-349.61999999999944</v>
      </c>
      <c r="G113" s="377">
        <f t="shared" si="66"/>
        <v>6820.62</v>
      </c>
      <c r="H113" s="378">
        <f t="shared" si="67"/>
        <v>-5.1259269685160515E-2</v>
      </c>
      <c r="I113" s="377"/>
      <c r="J113" s="377"/>
    </row>
    <row r="114" spans="2:10" x14ac:dyDescent="0.25">
      <c r="B114" s="647">
        <v>42597</v>
      </c>
      <c r="C114" s="376">
        <v>230</v>
      </c>
      <c r="D114" s="377">
        <v>22.674800000000001</v>
      </c>
      <c r="E114" s="377">
        <v>23.2</v>
      </c>
      <c r="F114" s="377">
        <f t="shared" si="65"/>
        <v>120.79599999999957</v>
      </c>
      <c r="G114" s="377">
        <f t="shared" si="66"/>
        <v>5215.2040000000006</v>
      </c>
      <c r="H114" s="378">
        <f t="shared" si="67"/>
        <v>2.3162277065288252E-2</v>
      </c>
      <c r="I114" s="377"/>
      <c r="J114" s="377"/>
    </row>
    <row r="115" spans="2:10" x14ac:dyDescent="0.25">
      <c r="B115" s="647">
        <v>42599</v>
      </c>
      <c r="C115" s="376">
        <v>200</v>
      </c>
      <c r="D115" s="377">
        <v>22.554099999999998</v>
      </c>
      <c r="E115" s="377">
        <v>23.31</v>
      </c>
      <c r="F115" s="377">
        <f t="shared" si="65"/>
        <v>151.18000000000009</v>
      </c>
      <c r="G115" s="377">
        <f t="shared" si="66"/>
        <v>4510.82</v>
      </c>
      <c r="H115" s="378">
        <f t="shared" si="67"/>
        <v>3.3514970670521123E-2</v>
      </c>
      <c r="I115" s="377">
        <v>22</v>
      </c>
      <c r="J115" s="377"/>
    </row>
    <row r="116" spans="2:10" x14ac:dyDescent="0.25">
      <c r="B116" s="647">
        <v>42600</v>
      </c>
      <c r="C116" s="376">
        <v>200</v>
      </c>
      <c r="D116" s="377">
        <v>22.554099999999998</v>
      </c>
      <c r="E116" s="377">
        <v>22.74</v>
      </c>
      <c r="F116" s="377">
        <f t="shared" si="65"/>
        <v>37.180000000000035</v>
      </c>
      <c r="G116" s="377">
        <f t="shared" si="66"/>
        <v>4510.82</v>
      </c>
      <c r="H116" s="378">
        <f t="shared" si="67"/>
        <v>8.2424038201480074E-3</v>
      </c>
      <c r="I116" s="377"/>
      <c r="J116" s="377"/>
    </row>
    <row r="117" spans="2:10" x14ac:dyDescent="0.25">
      <c r="B117" s="647">
        <v>42601</v>
      </c>
      <c r="C117" s="376">
        <v>200</v>
      </c>
      <c r="D117" s="377">
        <v>22.554099999999998</v>
      </c>
      <c r="E117" s="377">
        <v>23.02</v>
      </c>
      <c r="F117" s="377">
        <f t="shared" si="65"/>
        <v>93.180000000000263</v>
      </c>
      <c r="G117" s="377">
        <f t="shared" si="66"/>
        <v>4510.82</v>
      </c>
      <c r="H117" s="378">
        <f t="shared" si="67"/>
        <v>2.06569980624366E-2</v>
      </c>
      <c r="I117" s="377"/>
      <c r="J117" s="377"/>
    </row>
    <row r="118" spans="2:10" x14ac:dyDescent="0.25">
      <c r="B118" s="647">
        <v>42604</v>
      </c>
      <c r="C118" s="376">
        <v>200</v>
      </c>
      <c r="D118" s="377">
        <v>22.554099999999998</v>
      </c>
      <c r="E118" s="377">
        <v>23.69</v>
      </c>
      <c r="F118" s="377">
        <f t="shared" si="65"/>
        <v>227.1800000000006</v>
      </c>
      <c r="G118" s="377">
        <f t="shared" si="66"/>
        <v>4510.82</v>
      </c>
      <c r="H118" s="378">
        <f t="shared" si="67"/>
        <v>5.0363348570769975E-2</v>
      </c>
      <c r="I118" s="377"/>
      <c r="J118" s="377"/>
    </row>
    <row r="119" spans="2:10" x14ac:dyDescent="0.25">
      <c r="B119" s="647">
        <v>42605</v>
      </c>
      <c r="C119" s="376">
        <v>200</v>
      </c>
      <c r="D119" s="377">
        <v>22.554099999999998</v>
      </c>
      <c r="E119" s="377">
        <v>24.83</v>
      </c>
      <c r="F119" s="377">
        <f t="shared" si="65"/>
        <v>455.18</v>
      </c>
      <c r="G119" s="377">
        <f t="shared" si="66"/>
        <v>4510.82</v>
      </c>
      <c r="H119" s="378">
        <f t="shared" si="67"/>
        <v>0.10090848227151605</v>
      </c>
      <c r="I119" s="377"/>
      <c r="J119" s="377"/>
    </row>
    <row r="120" spans="2:10" x14ac:dyDescent="0.25">
      <c r="B120" s="647">
        <v>42606</v>
      </c>
      <c r="C120" s="376">
        <v>200</v>
      </c>
      <c r="D120" s="377">
        <v>22.554099999999998</v>
      </c>
      <c r="E120" s="377">
        <v>24.04</v>
      </c>
      <c r="F120" s="377">
        <f t="shared" si="65"/>
        <v>297.18000000000018</v>
      </c>
      <c r="G120" s="377">
        <f t="shared" si="66"/>
        <v>4510.82</v>
      </c>
      <c r="H120" s="378">
        <f t="shared" si="67"/>
        <v>6.588159137363056E-2</v>
      </c>
      <c r="I120" s="377"/>
      <c r="J120" s="377"/>
    </row>
    <row r="121" spans="2:10" x14ac:dyDescent="0.25">
      <c r="B121" s="647">
        <v>42607</v>
      </c>
      <c r="C121" s="376">
        <v>200</v>
      </c>
      <c r="D121" s="377">
        <v>22.554099999999998</v>
      </c>
      <c r="E121" s="377">
        <v>24.23</v>
      </c>
      <c r="F121" s="377">
        <f t="shared" si="65"/>
        <v>335.1800000000004</v>
      </c>
      <c r="G121" s="377">
        <f t="shared" si="66"/>
        <v>4510.82</v>
      </c>
      <c r="H121" s="378">
        <f t="shared" si="67"/>
        <v>7.4305780323754983E-2</v>
      </c>
      <c r="I121" s="377"/>
      <c r="J121" s="377"/>
    </row>
    <row r="122" spans="2:10" x14ac:dyDescent="0.25">
      <c r="B122" s="647">
        <v>42608</v>
      </c>
      <c r="C122" s="376">
        <v>200</v>
      </c>
      <c r="D122" s="377">
        <v>22.554099999999998</v>
      </c>
      <c r="E122" s="377">
        <v>23.98</v>
      </c>
      <c r="F122" s="377">
        <f t="shared" si="65"/>
        <v>285.1800000000004</v>
      </c>
      <c r="G122" s="377">
        <f t="shared" si="66"/>
        <v>4510.82</v>
      </c>
      <c r="H122" s="378">
        <f t="shared" si="67"/>
        <v>6.3221321178854498E-2</v>
      </c>
      <c r="I122" s="377"/>
      <c r="J122" s="377"/>
    </row>
    <row r="123" spans="2:10" x14ac:dyDescent="0.25">
      <c r="B123" s="647">
        <v>42611</v>
      </c>
      <c r="C123" s="376">
        <v>200</v>
      </c>
      <c r="D123" s="377">
        <v>22.554099999999998</v>
      </c>
      <c r="E123" s="377">
        <v>24.98</v>
      </c>
      <c r="F123" s="377">
        <f t="shared" si="65"/>
        <v>485.1800000000004</v>
      </c>
      <c r="G123" s="377">
        <f t="shared" si="66"/>
        <v>4510.82</v>
      </c>
      <c r="H123" s="378">
        <f t="shared" si="67"/>
        <v>0.10755915775845644</v>
      </c>
      <c r="I123" s="377"/>
      <c r="J123" s="377"/>
    </row>
    <row r="124" spans="2:10" x14ac:dyDescent="0.25">
      <c r="B124" s="647">
        <v>42612</v>
      </c>
      <c r="C124" s="376">
        <v>200</v>
      </c>
      <c r="D124" s="377">
        <v>22.554099999999998</v>
      </c>
      <c r="E124" s="377">
        <v>26.17</v>
      </c>
      <c r="F124" s="377">
        <f t="shared" si="65"/>
        <v>723.18000000000075</v>
      </c>
      <c r="G124" s="377">
        <f t="shared" si="66"/>
        <v>4510.82</v>
      </c>
      <c r="H124" s="378">
        <f t="shared" si="67"/>
        <v>0.16032118328818279</v>
      </c>
      <c r="I124" s="377"/>
      <c r="J124" s="377"/>
    </row>
    <row r="125" spans="2:10" x14ac:dyDescent="0.25">
      <c r="B125" s="647">
        <v>42614</v>
      </c>
      <c r="C125" s="376">
        <v>200</v>
      </c>
      <c r="D125" s="377">
        <v>22.104099999999999</v>
      </c>
      <c r="E125" s="377">
        <v>25.6</v>
      </c>
      <c r="F125" s="377">
        <f t="shared" si="65"/>
        <v>699.18000000000052</v>
      </c>
      <c r="G125" s="377">
        <f t="shared" si="66"/>
        <v>4420.82</v>
      </c>
      <c r="H125" s="378">
        <f t="shared" si="67"/>
        <v>0.15815617917038027</v>
      </c>
      <c r="I125" s="377" t="s">
        <v>186</v>
      </c>
      <c r="J125" s="377"/>
    </row>
    <row r="126" spans="2:10" x14ac:dyDescent="0.25">
      <c r="B126" s="647">
        <v>42615</v>
      </c>
      <c r="C126" s="376">
        <v>200</v>
      </c>
      <c r="D126" s="377">
        <v>22.104099999999999</v>
      </c>
      <c r="E126" s="377">
        <v>25.94</v>
      </c>
      <c r="F126" s="377">
        <f t="shared" si="65"/>
        <v>767.18000000000052</v>
      </c>
      <c r="G126" s="377">
        <f t="shared" si="66"/>
        <v>4420.82</v>
      </c>
      <c r="H126" s="378">
        <f t="shared" si="67"/>
        <v>0.17353794092498687</v>
      </c>
      <c r="I126" s="377"/>
      <c r="J126" s="377"/>
    </row>
    <row r="127" spans="2:10" x14ac:dyDescent="0.25">
      <c r="B127" s="647">
        <v>42619</v>
      </c>
      <c r="C127" s="376">
        <v>200</v>
      </c>
      <c r="D127" s="377">
        <v>22.104099999999999</v>
      </c>
      <c r="E127" s="377">
        <v>25.65</v>
      </c>
      <c r="F127" s="377">
        <f t="shared" si="65"/>
        <v>709.18</v>
      </c>
      <c r="G127" s="377">
        <f t="shared" si="66"/>
        <v>4420.82</v>
      </c>
      <c r="H127" s="378">
        <f t="shared" si="67"/>
        <v>0.1604182029578223</v>
      </c>
      <c r="I127" s="377"/>
      <c r="J127" s="377"/>
    </row>
    <row r="128" spans="2:10" x14ac:dyDescent="0.25">
      <c r="B128" s="647">
        <v>42620</v>
      </c>
      <c r="C128" s="376">
        <v>200</v>
      </c>
      <c r="D128" s="377">
        <v>22.1</v>
      </c>
      <c r="E128" s="377">
        <v>25.53</v>
      </c>
      <c r="F128" s="377">
        <f t="shared" si="65"/>
        <v>686</v>
      </c>
      <c r="G128" s="377">
        <f t="shared" si="66"/>
        <v>4420</v>
      </c>
      <c r="H128" s="378">
        <f t="shared" si="67"/>
        <v>0.15520361990950224</v>
      </c>
      <c r="I128" s="377"/>
      <c r="J128" s="377"/>
    </row>
    <row r="129" spans="2:10" x14ac:dyDescent="0.25">
      <c r="B129" s="647">
        <v>42621</v>
      </c>
      <c r="C129" s="376">
        <v>160</v>
      </c>
      <c r="D129" s="377">
        <v>21.060300000000002</v>
      </c>
      <c r="E129" s="377">
        <v>25.96</v>
      </c>
      <c r="F129" s="377">
        <f t="shared" si="65"/>
        <v>783.95199999999988</v>
      </c>
      <c r="G129" s="377">
        <f t="shared" si="66"/>
        <v>3369.6480000000001</v>
      </c>
      <c r="H129" s="378">
        <f t="shared" si="67"/>
        <v>0.23265100687074727</v>
      </c>
      <c r="I129" s="377"/>
      <c r="J129" s="377"/>
    </row>
    <row r="130" spans="2:10" x14ac:dyDescent="0.25">
      <c r="B130" s="647">
        <v>42622</v>
      </c>
      <c r="C130" s="376">
        <v>160</v>
      </c>
      <c r="D130" s="377">
        <v>21.060300000000002</v>
      </c>
      <c r="E130" s="377">
        <v>25</v>
      </c>
      <c r="F130" s="377">
        <f t="shared" si="65"/>
        <v>630.35199999999975</v>
      </c>
      <c r="G130" s="377">
        <f t="shared" si="66"/>
        <v>3369.6480000000001</v>
      </c>
      <c r="H130" s="378">
        <f t="shared" si="67"/>
        <v>0.18706761062283053</v>
      </c>
      <c r="I130" s="377"/>
      <c r="J130" s="377"/>
    </row>
    <row r="131" spans="2:10" x14ac:dyDescent="0.25">
      <c r="B131" s="647">
        <v>42625</v>
      </c>
      <c r="C131" s="376">
        <v>160</v>
      </c>
      <c r="D131" s="377">
        <v>21.060300000000002</v>
      </c>
      <c r="E131" s="377">
        <v>25.51</v>
      </c>
      <c r="F131" s="377">
        <f t="shared" si="65"/>
        <v>711.952</v>
      </c>
      <c r="G131" s="377">
        <f t="shared" si="66"/>
        <v>3369.6480000000001</v>
      </c>
      <c r="H131" s="378">
        <f t="shared" si="67"/>
        <v>0.21128378987953636</v>
      </c>
      <c r="I131" s="377"/>
      <c r="J131" s="377"/>
    </row>
    <row r="132" spans="2:10" x14ac:dyDescent="0.25">
      <c r="B132" s="647">
        <v>42626</v>
      </c>
      <c r="C132" s="376">
        <v>200</v>
      </c>
      <c r="D132" s="377">
        <v>21.764199999999999</v>
      </c>
      <c r="E132" s="377">
        <v>24.01</v>
      </c>
      <c r="F132" s="377">
        <f t="shared" si="65"/>
        <v>449.16000000000054</v>
      </c>
      <c r="G132" s="377">
        <f t="shared" si="66"/>
        <v>4352.84</v>
      </c>
      <c r="H132" s="378">
        <f t="shared" si="67"/>
        <v>0.10318780382462957</v>
      </c>
      <c r="I132" s="377" t="s">
        <v>292</v>
      </c>
      <c r="J132" s="377"/>
    </row>
    <row r="133" spans="2:10" x14ac:dyDescent="0.25">
      <c r="B133" s="647">
        <v>42632</v>
      </c>
      <c r="C133" s="376">
        <v>200</v>
      </c>
      <c r="D133" s="377">
        <v>21.764199999999999</v>
      </c>
      <c r="E133" s="377">
        <v>23.68</v>
      </c>
      <c r="F133" s="377">
        <f t="shared" si="65"/>
        <v>383.1600000000002</v>
      </c>
      <c r="G133" s="377">
        <f t="shared" si="66"/>
        <v>4352.84</v>
      </c>
      <c r="H133" s="378">
        <f t="shared" si="67"/>
        <v>8.8025289236452572E-2</v>
      </c>
      <c r="I133" s="377"/>
      <c r="J133" s="377"/>
    </row>
    <row r="134" spans="2:10" x14ac:dyDescent="0.25">
      <c r="B134" s="647">
        <v>42633</v>
      </c>
      <c r="C134" s="376">
        <v>200</v>
      </c>
      <c r="D134" s="377">
        <v>21.764199999999999</v>
      </c>
      <c r="E134" s="377">
        <v>23.3</v>
      </c>
      <c r="F134" s="377">
        <f t="shared" si="65"/>
        <v>307.16000000000037</v>
      </c>
      <c r="G134" s="377">
        <f t="shared" si="66"/>
        <v>4352.84</v>
      </c>
      <c r="H134" s="378">
        <f t="shared" si="67"/>
        <v>7.0565423953097381E-2</v>
      </c>
      <c r="I134" s="377"/>
      <c r="J134" s="377"/>
    </row>
    <row r="135" spans="2:10" x14ac:dyDescent="0.25">
      <c r="B135" s="647">
        <v>42634</v>
      </c>
      <c r="C135" s="376">
        <v>200</v>
      </c>
      <c r="D135" s="377">
        <v>21.764199999999999</v>
      </c>
      <c r="E135" s="377">
        <v>23.03</v>
      </c>
      <c r="F135" s="377">
        <f t="shared" si="65"/>
        <v>253.16000000000045</v>
      </c>
      <c r="G135" s="377">
        <f t="shared" si="66"/>
        <v>4352.84</v>
      </c>
      <c r="H135" s="378">
        <f t="shared" si="67"/>
        <v>5.8159730199134466E-2</v>
      </c>
      <c r="I135" s="377"/>
      <c r="J135" s="377"/>
    </row>
    <row r="136" spans="2:10" x14ac:dyDescent="0.25">
      <c r="B136" s="647">
        <v>42636</v>
      </c>
      <c r="C136" s="376">
        <v>200</v>
      </c>
      <c r="D136" s="377">
        <v>21.764199999999999</v>
      </c>
      <c r="E136" s="377">
        <v>22.63</v>
      </c>
      <c r="F136" s="377">
        <f t="shared" si="65"/>
        <v>173.16000000000003</v>
      </c>
      <c r="G136" s="377">
        <f t="shared" si="66"/>
        <v>4352.84</v>
      </c>
      <c r="H136" s="378">
        <f t="shared" si="67"/>
        <v>3.9780924637707805E-2</v>
      </c>
      <c r="I136" s="377"/>
      <c r="J136" s="377"/>
    </row>
    <row r="137" spans="2:10" x14ac:dyDescent="0.25">
      <c r="B137" s="647">
        <v>42639</v>
      </c>
      <c r="C137" s="376">
        <v>300</v>
      </c>
      <c r="D137" s="377">
        <v>21.936299999999999</v>
      </c>
      <c r="E137" s="377">
        <v>22.64</v>
      </c>
      <c r="F137" s="377">
        <f t="shared" si="65"/>
        <v>211.11000000000041</v>
      </c>
      <c r="G137" s="377">
        <f t="shared" si="66"/>
        <v>6580.8899999999994</v>
      </c>
      <c r="H137" s="378">
        <f t="shared" si="67"/>
        <v>3.2079247639756996E-2</v>
      </c>
      <c r="I137" s="377"/>
      <c r="J137" s="377"/>
    </row>
    <row r="138" spans="2:10" x14ac:dyDescent="0.25">
      <c r="B138" s="647">
        <v>42639</v>
      </c>
      <c r="C138" s="376">
        <v>200</v>
      </c>
      <c r="D138" s="377">
        <v>21.494499999999999</v>
      </c>
      <c r="E138" s="377">
        <v>22.64</v>
      </c>
      <c r="F138" s="377">
        <f t="shared" si="65"/>
        <v>229.10000000000039</v>
      </c>
      <c r="G138" s="377">
        <f t="shared" si="66"/>
        <v>4298.8999999999996</v>
      </c>
      <c r="H138" s="378">
        <f t="shared" si="67"/>
        <v>5.3292702784433321E-2</v>
      </c>
      <c r="I138" s="377" t="s">
        <v>293</v>
      </c>
      <c r="J138" s="377"/>
    </row>
    <row r="139" spans="2:10" x14ac:dyDescent="0.25">
      <c r="B139" s="647">
        <v>42640</v>
      </c>
      <c r="C139" s="376">
        <v>200</v>
      </c>
      <c r="D139" s="377">
        <v>21.494499999999999</v>
      </c>
      <c r="E139" s="377">
        <v>23.95</v>
      </c>
      <c r="F139" s="377">
        <f t="shared" si="65"/>
        <v>491.10000000000014</v>
      </c>
      <c r="G139" s="377">
        <f t="shared" si="66"/>
        <v>4298.8999999999996</v>
      </c>
      <c r="H139" s="378">
        <f t="shared" si="67"/>
        <v>0.11423852613459261</v>
      </c>
      <c r="I139" s="377"/>
      <c r="J139" s="377"/>
    </row>
    <row r="140" spans="2:10" x14ac:dyDescent="0.25">
      <c r="B140" s="647">
        <v>42643</v>
      </c>
      <c r="C140" s="376">
        <v>140</v>
      </c>
      <c r="D140" s="377">
        <v>20.112300000000001</v>
      </c>
      <c r="E140" s="377">
        <v>24.2</v>
      </c>
      <c r="F140" s="377">
        <f t="shared" si="65"/>
        <v>572.27799999999979</v>
      </c>
      <c r="G140" s="377">
        <f t="shared" si="66"/>
        <v>2815.7220000000002</v>
      </c>
      <c r="H140" s="378">
        <f t="shared" si="67"/>
        <v>0.2032437861408192</v>
      </c>
      <c r="I140" s="377"/>
      <c r="J140" s="377"/>
    </row>
    <row r="141" spans="2:10" x14ac:dyDescent="0.25">
      <c r="B141" s="647">
        <v>42643</v>
      </c>
      <c r="C141" s="376">
        <v>200</v>
      </c>
      <c r="D141" s="377">
        <v>21.368600000000001</v>
      </c>
      <c r="E141" s="377">
        <v>24.2</v>
      </c>
      <c r="F141" s="377">
        <f t="shared" si="65"/>
        <v>566.27999999999975</v>
      </c>
      <c r="G141" s="377">
        <f t="shared" si="66"/>
        <v>4273.72</v>
      </c>
      <c r="H141" s="378">
        <f t="shared" si="67"/>
        <v>0.13250283125707807</v>
      </c>
      <c r="I141" s="377" t="s">
        <v>293</v>
      </c>
      <c r="J141" s="377"/>
    </row>
    <row r="142" spans="2:10" x14ac:dyDescent="0.25">
      <c r="B142" s="647">
        <v>42648</v>
      </c>
      <c r="C142" s="376">
        <v>200</v>
      </c>
      <c r="D142" s="377">
        <v>21.368600000000001</v>
      </c>
      <c r="E142" s="377">
        <v>24.86</v>
      </c>
      <c r="F142" s="377">
        <f t="shared" si="65"/>
        <v>698.27999999999975</v>
      </c>
      <c r="G142" s="377">
        <f t="shared" si="66"/>
        <v>4273.72</v>
      </c>
      <c r="H142" s="378">
        <f t="shared" si="67"/>
        <v>0.16338927210954385</v>
      </c>
      <c r="I142" s="377"/>
      <c r="J142" s="377"/>
    </row>
    <row r="143" spans="2:10" x14ac:dyDescent="0.25">
      <c r="B143" s="647">
        <v>42649</v>
      </c>
      <c r="C143" s="376">
        <v>200</v>
      </c>
      <c r="D143" s="377">
        <v>21.368600000000001</v>
      </c>
      <c r="E143" s="377">
        <v>24.66</v>
      </c>
      <c r="F143" s="377">
        <f t="shared" si="65"/>
        <v>658.27999999999986</v>
      </c>
      <c r="G143" s="377">
        <f t="shared" si="66"/>
        <v>4273.72</v>
      </c>
      <c r="H143" s="378">
        <f t="shared" si="67"/>
        <v>0.15402974457849364</v>
      </c>
      <c r="I143" s="377"/>
      <c r="J143" s="377"/>
    </row>
    <row r="144" spans="2:10" x14ac:dyDescent="0.25">
      <c r="B144" s="647">
        <v>42650</v>
      </c>
      <c r="C144" s="376">
        <v>200</v>
      </c>
      <c r="D144" s="377">
        <v>21.368600000000001</v>
      </c>
      <c r="E144" s="377">
        <v>23.95</v>
      </c>
      <c r="F144" s="377">
        <f t="shared" si="65"/>
        <v>516.27999999999975</v>
      </c>
      <c r="G144" s="377">
        <f t="shared" si="66"/>
        <v>4273.72</v>
      </c>
      <c r="H144" s="378">
        <f t="shared" si="67"/>
        <v>0.12080342184326529</v>
      </c>
      <c r="I144" s="377"/>
      <c r="J144" s="377"/>
    </row>
    <row r="145" spans="2:10" x14ac:dyDescent="0.25">
      <c r="B145" s="647">
        <v>42661</v>
      </c>
      <c r="C145" s="376">
        <v>300</v>
      </c>
      <c r="D145" s="377">
        <v>21.765699999999999</v>
      </c>
      <c r="E145" s="377">
        <v>23.46</v>
      </c>
      <c r="F145" s="377">
        <f t="shared" si="65"/>
        <v>508.29000000000059</v>
      </c>
      <c r="G145" s="377">
        <f t="shared" si="66"/>
        <v>6529.71</v>
      </c>
      <c r="H145" s="378">
        <f t="shared" si="67"/>
        <v>7.7842660700092436E-2</v>
      </c>
      <c r="I145" s="377">
        <v>21.5</v>
      </c>
      <c r="J145" s="377"/>
    </row>
    <row r="146" spans="2:10" x14ac:dyDescent="0.25">
      <c r="B146" s="647">
        <v>42662</v>
      </c>
      <c r="C146" s="376">
        <v>300</v>
      </c>
      <c r="D146" s="377">
        <v>21.77</v>
      </c>
      <c r="E146" s="377">
        <v>24.15</v>
      </c>
      <c r="F146" s="377">
        <f t="shared" si="65"/>
        <v>713.99999999999966</v>
      </c>
      <c r="G146" s="377">
        <f t="shared" si="66"/>
        <v>6531</v>
      </c>
      <c r="H146" s="378">
        <f t="shared" si="67"/>
        <v>0.10932475884244369</v>
      </c>
      <c r="I146" s="377"/>
      <c r="J146" s="377"/>
    </row>
    <row r="147" spans="2:10" x14ac:dyDescent="0.25">
      <c r="B147" s="647">
        <v>42663</v>
      </c>
      <c r="C147" s="376">
        <v>260</v>
      </c>
      <c r="D147" s="377">
        <v>21.302099999999999</v>
      </c>
      <c r="E147" s="377">
        <v>24.98</v>
      </c>
      <c r="F147" s="377">
        <f t="shared" si="65"/>
        <v>956.25400000000025</v>
      </c>
      <c r="G147" s="377">
        <f t="shared" si="66"/>
        <v>5538.5460000000003</v>
      </c>
      <c r="H147" s="378">
        <f t="shared" si="67"/>
        <v>0.17265433924354881</v>
      </c>
      <c r="I147" s="377"/>
      <c r="J147" s="377"/>
    </row>
    <row r="148" spans="2:10" x14ac:dyDescent="0.25">
      <c r="B148" s="647">
        <v>42664</v>
      </c>
      <c r="C148" s="376">
        <v>260</v>
      </c>
      <c r="D148" s="377">
        <v>21.302099999999999</v>
      </c>
      <c r="E148" s="377">
        <v>25.92</v>
      </c>
      <c r="F148" s="377">
        <f t="shared" si="65"/>
        <v>1200.6540000000007</v>
      </c>
      <c r="G148" s="377">
        <f t="shared" si="66"/>
        <v>5538.5460000000003</v>
      </c>
      <c r="H148" s="378">
        <f t="shared" si="67"/>
        <v>0.21678144408297786</v>
      </c>
      <c r="I148" s="377"/>
      <c r="J148" s="377"/>
    </row>
    <row r="149" spans="2:10" x14ac:dyDescent="0.25">
      <c r="B149" s="647">
        <v>42667</v>
      </c>
      <c r="C149" s="376">
        <v>260</v>
      </c>
      <c r="D149" s="377">
        <v>21.302099999999999</v>
      </c>
      <c r="E149" s="377">
        <v>25.35</v>
      </c>
      <c r="F149" s="377">
        <f t="shared" si="65"/>
        <v>1052.4540000000006</v>
      </c>
      <c r="G149" s="377">
        <f t="shared" si="66"/>
        <v>5538.5460000000003</v>
      </c>
      <c r="H149" s="378">
        <f t="shared" si="67"/>
        <v>0.19002351880800494</v>
      </c>
      <c r="I149" s="377"/>
      <c r="J149" s="377"/>
    </row>
    <row r="150" spans="2:10" x14ac:dyDescent="0.25">
      <c r="B150" s="647">
        <v>42674</v>
      </c>
      <c r="C150" s="376">
        <v>300</v>
      </c>
      <c r="D150" s="377">
        <v>21.6828</v>
      </c>
      <c r="E150" s="377">
        <v>24.01</v>
      </c>
      <c r="F150" s="377">
        <f t="shared" si="65"/>
        <v>698.16000000000042</v>
      </c>
      <c r="G150" s="377">
        <f t="shared" si="66"/>
        <v>6504.84</v>
      </c>
      <c r="H150" s="378">
        <f t="shared" si="67"/>
        <v>0.10732931171250951</v>
      </c>
      <c r="I150" s="377">
        <v>21.5</v>
      </c>
      <c r="J150" s="377"/>
    </row>
    <row r="151" spans="2:10" x14ac:dyDescent="0.25">
      <c r="B151" s="647">
        <v>42675</v>
      </c>
      <c r="C151" s="376">
        <v>300</v>
      </c>
      <c r="D151" s="377">
        <v>21.6096</v>
      </c>
      <c r="E151" s="377">
        <v>24.89</v>
      </c>
      <c r="F151" s="377">
        <f t="shared" si="65"/>
        <v>984.12000000000012</v>
      </c>
      <c r="G151" s="377">
        <f t="shared" si="66"/>
        <v>6482.88</v>
      </c>
      <c r="H151" s="378">
        <f t="shared" si="67"/>
        <v>0.15180290241374206</v>
      </c>
      <c r="I151" s="377">
        <v>21.5</v>
      </c>
      <c r="J151" s="377"/>
    </row>
    <row r="152" spans="2:10" x14ac:dyDescent="0.25">
      <c r="B152" s="647">
        <v>42677</v>
      </c>
      <c r="C152" s="376">
        <v>340</v>
      </c>
      <c r="D152" s="377">
        <v>21.5627</v>
      </c>
      <c r="E152" s="377">
        <v>22.6</v>
      </c>
      <c r="F152" s="377">
        <f t="shared" si="65"/>
        <v>352.68200000000064</v>
      </c>
      <c r="G152" s="377">
        <f t="shared" si="66"/>
        <v>7331.3180000000002</v>
      </c>
      <c r="H152" s="378">
        <f t="shared" si="67"/>
        <v>4.8106220464042164E-2</v>
      </c>
      <c r="I152" s="377"/>
      <c r="J152" s="377"/>
    </row>
    <row r="153" spans="2:10" x14ac:dyDescent="0.25">
      <c r="B153" s="647">
        <v>42701</v>
      </c>
      <c r="C153" s="376">
        <v>240</v>
      </c>
      <c r="D153" s="377">
        <v>18.880800000000001</v>
      </c>
      <c r="E153" s="377">
        <v>28.55</v>
      </c>
      <c r="F153" s="377">
        <f t="shared" si="65"/>
        <v>2320.6080000000002</v>
      </c>
      <c r="G153" s="377">
        <f t="shared" si="66"/>
        <v>4531.3919999999998</v>
      </c>
      <c r="H153" s="378">
        <f t="shared" si="67"/>
        <v>0.51211813058768696</v>
      </c>
      <c r="I153" s="377"/>
      <c r="J153" s="377"/>
    </row>
    <row r="154" spans="2:10" x14ac:dyDescent="0.25">
      <c r="B154" s="647">
        <v>42705</v>
      </c>
      <c r="C154" s="376">
        <v>200</v>
      </c>
      <c r="D154" s="377">
        <v>16.231100000000001</v>
      </c>
      <c r="E154" s="377">
        <v>28.94</v>
      </c>
      <c r="F154" s="377">
        <f t="shared" si="65"/>
        <v>2541.7799999999997</v>
      </c>
      <c r="G154" s="377">
        <f t="shared" si="66"/>
        <v>3246.2200000000003</v>
      </c>
      <c r="H154" s="378">
        <f t="shared" si="67"/>
        <v>0.78299683940090314</v>
      </c>
      <c r="I154" s="377" t="s">
        <v>320</v>
      </c>
      <c r="J154" s="377"/>
    </row>
    <row r="155" spans="2:10" x14ac:dyDescent="0.25">
      <c r="B155" s="647">
        <v>42711</v>
      </c>
      <c r="C155" s="376">
        <v>0</v>
      </c>
      <c r="D155" s="377"/>
      <c r="E155" s="377"/>
      <c r="F155" s="377">
        <v>2733.66</v>
      </c>
      <c r="G155" s="377"/>
      <c r="H155" s="378"/>
      <c r="I155" s="377"/>
      <c r="J155" s="377"/>
    </row>
    <row r="156" spans="2:10" x14ac:dyDescent="0.25">
      <c r="B156" s="647"/>
      <c r="C156" s="376"/>
      <c r="D156" s="377"/>
      <c r="E156" s="377"/>
      <c r="F156" s="377"/>
      <c r="G156" s="377"/>
      <c r="H156" s="378"/>
      <c r="I156" s="377"/>
      <c r="J156" s="377"/>
    </row>
    <row r="157" spans="2:10" x14ac:dyDescent="0.25">
      <c r="B157" s="647">
        <v>42716</v>
      </c>
      <c r="C157" s="376">
        <v>200</v>
      </c>
      <c r="D157" s="377">
        <v>29.285</v>
      </c>
      <c r="E157" s="377">
        <v>29</v>
      </c>
      <c r="F157" s="377">
        <f t="shared" ref="F157:F164" si="68">C157*(E157-D157)</f>
        <v>-57.000000000000028</v>
      </c>
      <c r="G157" s="377">
        <f t="shared" ref="G157:G164" si="69">D157*C157</f>
        <v>5857</v>
      </c>
      <c r="H157" s="378">
        <f t="shared" ref="H157:H164" si="70">(E157-D157)/D157</f>
        <v>-9.7319446815776044E-3</v>
      </c>
      <c r="I157" s="377"/>
      <c r="J157" s="377"/>
    </row>
    <row r="158" spans="2:10" x14ac:dyDescent="0.25">
      <c r="B158" s="647">
        <v>42720</v>
      </c>
      <c r="C158" s="376">
        <v>100</v>
      </c>
      <c r="D158" s="377">
        <v>29.210599999999999</v>
      </c>
      <c r="E158" s="377">
        <v>29.48</v>
      </c>
      <c r="F158" s="377">
        <f t="shared" si="68"/>
        <v>26.940000000000097</v>
      </c>
      <c r="G158" s="377">
        <f t="shared" si="69"/>
        <v>2921.06</v>
      </c>
      <c r="H158" s="378">
        <f t="shared" si="70"/>
        <v>9.2226794382861358E-3</v>
      </c>
      <c r="I158" s="377"/>
      <c r="J158" s="377"/>
    </row>
    <row r="159" spans="2:10" x14ac:dyDescent="0.25">
      <c r="B159" s="647">
        <v>42723</v>
      </c>
      <c r="C159" s="376">
        <v>200</v>
      </c>
      <c r="D159" s="377">
        <v>28.7453</v>
      </c>
      <c r="E159" s="377">
        <v>28.29</v>
      </c>
      <c r="F159" s="377">
        <f t="shared" si="68"/>
        <v>-91.06000000000023</v>
      </c>
      <c r="G159" s="377">
        <f t="shared" si="69"/>
        <v>5749.06</v>
      </c>
      <c r="H159" s="378">
        <f t="shared" si="70"/>
        <v>-1.5839111089465101E-2</v>
      </c>
      <c r="I159" s="377"/>
      <c r="J159" s="377"/>
    </row>
    <row r="160" spans="2:10" x14ac:dyDescent="0.25">
      <c r="B160" s="647">
        <v>42724</v>
      </c>
      <c r="C160" s="376">
        <v>100</v>
      </c>
      <c r="D160" s="377">
        <v>28.511199999999999</v>
      </c>
      <c r="E160" s="377">
        <v>28.76</v>
      </c>
      <c r="F160" s="377">
        <f t="shared" si="68"/>
        <v>24.88000000000028</v>
      </c>
      <c r="G160" s="377">
        <f t="shared" si="69"/>
        <v>2851.12</v>
      </c>
      <c r="H160" s="378">
        <f t="shared" si="70"/>
        <v>8.7263952411684807E-3</v>
      </c>
      <c r="I160" s="377"/>
      <c r="J160" s="377"/>
    </row>
    <row r="161" spans="2:10" x14ac:dyDescent="0.25">
      <c r="B161" s="647">
        <v>42731</v>
      </c>
      <c r="C161" s="376">
        <v>100</v>
      </c>
      <c r="D161" s="377">
        <v>28.511199999999999</v>
      </c>
      <c r="E161" s="377">
        <v>31.95</v>
      </c>
      <c r="F161" s="377">
        <f t="shared" si="68"/>
        <v>343.88000000000005</v>
      </c>
      <c r="G161" s="377">
        <f t="shared" si="69"/>
        <v>2851.12</v>
      </c>
      <c r="H161" s="378">
        <f t="shared" si="70"/>
        <v>0.12061225062431608</v>
      </c>
      <c r="I161" s="377"/>
      <c r="J161" s="377"/>
    </row>
    <row r="162" spans="2:10" x14ac:dyDescent="0.25">
      <c r="B162" s="647">
        <v>42739</v>
      </c>
      <c r="C162" s="376">
        <v>100</v>
      </c>
      <c r="D162" s="377">
        <v>28.511199999999999</v>
      </c>
      <c r="E162" s="377">
        <v>33.04</v>
      </c>
      <c r="F162" s="377">
        <f t="shared" si="68"/>
        <v>452.88000000000005</v>
      </c>
      <c r="G162" s="377">
        <f t="shared" si="69"/>
        <v>2851.12</v>
      </c>
      <c r="H162" s="378">
        <f t="shared" si="70"/>
        <v>0.15884284070821295</v>
      </c>
      <c r="I162" s="377"/>
      <c r="J162" s="377"/>
    </row>
    <row r="163" spans="2:10" x14ac:dyDescent="0.25">
      <c r="B163" s="647">
        <v>42744</v>
      </c>
      <c r="C163" s="376">
        <v>100</v>
      </c>
      <c r="D163" s="377">
        <v>28.511199999999999</v>
      </c>
      <c r="E163" s="377">
        <v>33.770000000000003</v>
      </c>
      <c r="F163" s="377">
        <f t="shared" si="68"/>
        <v>525.88000000000045</v>
      </c>
      <c r="G163" s="377">
        <f t="shared" si="69"/>
        <v>2851.12</v>
      </c>
      <c r="H163" s="378">
        <f t="shared" si="70"/>
        <v>0.18444681388366693</v>
      </c>
      <c r="I163" s="377"/>
      <c r="J163" s="377"/>
    </row>
    <row r="164" spans="2:10" x14ac:dyDescent="0.25">
      <c r="B164" s="647">
        <v>42745</v>
      </c>
      <c r="C164" s="376">
        <v>100</v>
      </c>
      <c r="D164" s="377">
        <v>28.511199999999999</v>
      </c>
      <c r="E164" s="377">
        <v>32.729999999999997</v>
      </c>
      <c r="F164" s="377">
        <f t="shared" si="68"/>
        <v>421.87999999999982</v>
      </c>
      <c r="G164" s="377">
        <f t="shared" si="69"/>
        <v>2851.12</v>
      </c>
      <c r="H164" s="378">
        <f t="shared" si="70"/>
        <v>0.14796992059260916</v>
      </c>
      <c r="I164" s="377"/>
      <c r="J164" s="377"/>
    </row>
    <row r="165" spans="2:10" x14ac:dyDescent="0.25">
      <c r="B165" s="647"/>
      <c r="C165" s="376"/>
      <c r="D165" s="377"/>
      <c r="E165" s="377"/>
      <c r="F165" s="377"/>
      <c r="G165" s="376"/>
      <c r="H165" s="376"/>
      <c r="I165" s="377"/>
      <c r="J165" s="377"/>
    </row>
    <row r="166" spans="2:10" x14ac:dyDescent="0.25">
      <c r="B166" s="647"/>
      <c r="C166" s="376"/>
      <c r="D166" s="377"/>
      <c r="E166" s="377"/>
      <c r="F166" s="377"/>
      <c r="G166" s="376"/>
      <c r="H166" s="376"/>
      <c r="I166" s="377"/>
      <c r="J166" s="377"/>
    </row>
    <row r="167" spans="2:10" x14ac:dyDescent="0.25">
      <c r="B167" s="647"/>
      <c r="C167" s="376"/>
      <c r="D167" s="377"/>
      <c r="E167" s="377"/>
      <c r="F167" s="377"/>
      <c r="G167" s="376"/>
      <c r="H167" s="376"/>
      <c r="I167" s="377"/>
      <c r="J167" s="377"/>
    </row>
    <row r="168" spans="2:10" x14ac:dyDescent="0.25">
      <c r="B168" s="647"/>
      <c r="C168" s="376"/>
      <c r="D168" s="377"/>
      <c r="E168" s="377"/>
      <c r="F168" s="377"/>
      <c r="G168" s="376"/>
      <c r="H168" s="376"/>
      <c r="I168" s="377"/>
      <c r="J168" s="377"/>
    </row>
    <row r="169" spans="2:10" x14ac:dyDescent="0.25">
      <c r="B169" s="647"/>
      <c r="C169" s="376"/>
      <c r="D169" s="377"/>
      <c r="E169" s="377"/>
      <c r="F169" s="377"/>
      <c r="G169" s="376"/>
      <c r="H169" s="376"/>
      <c r="I169" s="377"/>
      <c r="J169" s="377"/>
    </row>
    <row r="170" spans="2:10" x14ac:dyDescent="0.25">
      <c r="B170" s="647"/>
      <c r="C170" s="376"/>
      <c r="D170" s="377"/>
      <c r="E170" s="377"/>
      <c r="F170" s="377"/>
      <c r="G170" s="376"/>
      <c r="H170" s="376"/>
      <c r="I170" s="377"/>
      <c r="J170" s="377"/>
    </row>
    <row r="171" spans="2:10" x14ac:dyDescent="0.25">
      <c r="B171" s="647"/>
      <c r="C171" s="376"/>
      <c r="D171" s="377"/>
      <c r="E171" s="377"/>
      <c r="F171" s="377"/>
      <c r="G171" s="376"/>
      <c r="H171" s="376"/>
      <c r="I171" s="377"/>
      <c r="J171" s="377"/>
    </row>
    <row r="172" spans="2:10" x14ac:dyDescent="0.25">
      <c r="B172" s="647"/>
      <c r="C172" s="376"/>
      <c r="D172" s="377"/>
      <c r="E172" s="377"/>
      <c r="F172" s="377"/>
      <c r="G172" s="376"/>
      <c r="H172" s="376"/>
      <c r="I172" s="377"/>
      <c r="J172" s="377"/>
    </row>
    <row r="173" spans="2:10" x14ac:dyDescent="0.25">
      <c r="B173" s="647"/>
      <c r="C173" s="376"/>
      <c r="D173" s="377"/>
      <c r="E173" s="377"/>
      <c r="F173" s="377"/>
      <c r="G173" s="376"/>
      <c r="H173" s="376"/>
      <c r="I173" s="377"/>
      <c r="J173" s="377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14" priority="62">
      <formula>Q7&gt;0</formula>
    </cfRule>
    <cfRule type="expression" dxfId="413" priority="63">
      <formula>Q7&lt;0</formula>
    </cfRule>
  </conditionalFormatting>
  <conditionalFormatting sqref="Q8">
    <cfRule type="expression" dxfId="412" priority="60">
      <formula>Q8&gt;0</formula>
    </cfRule>
    <cfRule type="expression" dxfId="411" priority="61">
      <formula>Q8&lt;0</formula>
    </cfRule>
  </conditionalFormatting>
  <conditionalFormatting sqref="F24">
    <cfRule type="expression" dxfId="410" priority="42">
      <formula>F24&gt;0</formula>
    </cfRule>
    <cfRule type="expression" dxfId="409" priority="43">
      <formula>F24&lt;0</formula>
    </cfRule>
  </conditionalFormatting>
  <conditionalFormatting sqref="F25:F36">
    <cfRule type="expression" dxfId="408" priority="40">
      <formula>F25&gt;0</formula>
    </cfRule>
    <cfRule type="expression" dxfId="407" priority="41">
      <formula>F25&lt;0</formula>
    </cfRule>
  </conditionalFormatting>
  <conditionalFormatting sqref="H24:H36">
    <cfRule type="expression" dxfId="406" priority="38">
      <formula>H24&gt;0</formula>
    </cfRule>
    <cfRule type="expression" dxfId="405" priority="39">
      <formula>H24&lt;0</formula>
    </cfRule>
  </conditionalFormatting>
  <conditionalFormatting sqref="J32:J53">
    <cfRule type="expression" dxfId="404" priority="35">
      <formula>J32&gt;0</formula>
    </cfRule>
    <cfRule type="expression" dxfId="403" priority="36">
      <formula>J32&lt;0</formula>
    </cfRule>
  </conditionalFormatting>
  <conditionalFormatting sqref="M56">
    <cfRule type="expression" dxfId="402" priority="33">
      <formula>M56&gt;0</formula>
    </cfRule>
    <cfRule type="expression" dxfId="401" priority="34">
      <formula>M56&lt;0</formula>
    </cfRule>
  </conditionalFormatting>
  <conditionalFormatting sqref="F101:F137 H101:H137 H140:H145 F140:F145 F147:F156 H147:H156">
    <cfRule type="expression" dxfId="400" priority="31">
      <formula>F101&gt;0</formula>
    </cfRule>
    <cfRule type="expression" dxfId="399" priority="32">
      <formula>F101&lt;0</formula>
    </cfRule>
  </conditionalFormatting>
  <conditionalFormatting sqref="F93:F100">
    <cfRule type="expression" dxfId="398" priority="29">
      <formula>F93&gt;0</formula>
    </cfRule>
    <cfRule type="expression" dxfId="397" priority="30">
      <formula>F93&lt;0</formula>
    </cfRule>
  </conditionalFormatting>
  <conditionalFormatting sqref="H93:H100">
    <cfRule type="expression" dxfId="396" priority="27">
      <formula>H93&gt;0</formula>
    </cfRule>
    <cfRule type="expression" dxfId="395" priority="28">
      <formula>H93&lt;0</formula>
    </cfRule>
  </conditionalFormatting>
  <conditionalFormatting sqref="F138:F139 H138:H139">
    <cfRule type="expression" dxfId="394" priority="25">
      <formula>F138&gt;0</formula>
    </cfRule>
    <cfRule type="expression" dxfId="393" priority="26">
      <formula>F138&lt;0</formula>
    </cfRule>
  </conditionalFormatting>
  <conditionalFormatting sqref="H146 F146">
    <cfRule type="expression" dxfId="392" priority="23">
      <formula>F146&gt;0</formula>
    </cfRule>
    <cfRule type="expression" dxfId="391" priority="24">
      <formula>F146&lt;0</formula>
    </cfRule>
  </conditionalFormatting>
  <conditionalFormatting sqref="F157:F164">
    <cfRule type="expression" dxfId="390" priority="9">
      <formula>F157&gt;0</formula>
    </cfRule>
    <cfRule type="expression" dxfId="389" priority="10">
      <formula>F157&lt;0</formula>
    </cfRule>
  </conditionalFormatting>
  <conditionalFormatting sqref="H157:H164">
    <cfRule type="expression" dxfId="388" priority="7">
      <formula>H157&gt;0</formula>
    </cfRule>
    <cfRule type="expression" dxfId="387" priority="8">
      <formula>H157&lt;0</formula>
    </cfRule>
  </conditionalFormatting>
  <conditionalFormatting sqref="Q10">
    <cfRule type="expression" dxfId="386" priority="5">
      <formula>Q10&gt;0</formula>
    </cfRule>
    <cfRule type="expression" dxfId="385" priority="6">
      <formula>Q10&lt;0</formula>
    </cfRule>
  </conditionalFormatting>
  <conditionalFormatting sqref="F37:F53">
    <cfRule type="expression" dxfId="384" priority="3">
      <formula>F37&gt;0</formula>
    </cfRule>
    <cfRule type="expression" dxfId="383" priority="4">
      <formula>F37&lt;0</formula>
    </cfRule>
  </conditionalFormatting>
  <conditionalFormatting sqref="H37:H53">
    <cfRule type="expression" dxfId="382" priority="1">
      <formula>H37&gt;0</formula>
    </cfRule>
    <cfRule type="expression" dxfId="381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6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358</v>
      </c>
      <c r="B2" s="498">
        <v>42755</v>
      </c>
      <c r="C2" s="7">
        <v>30</v>
      </c>
      <c r="D2" s="44">
        <v>64.680000000000007</v>
      </c>
      <c r="E2" s="44">
        <v>0</v>
      </c>
      <c r="F2" s="44">
        <f t="shared" ref="F2:F8" si="0">D2*C2+E2</f>
        <v>1940.4</v>
      </c>
      <c r="G2" s="498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</row>
    <row r="3" spans="1:23" x14ac:dyDescent="0.25">
      <c r="A3" s="23" t="s">
        <v>71</v>
      </c>
      <c r="B3" s="498">
        <v>42797</v>
      </c>
      <c r="C3" s="7">
        <v>50</v>
      </c>
      <c r="D3" s="44">
        <v>57.38</v>
      </c>
      <c r="E3" s="44">
        <v>0</v>
      </c>
      <c r="F3" s="44">
        <f t="shared" si="0"/>
        <v>2869</v>
      </c>
      <c r="G3" s="498">
        <v>42955</v>
      </c>
      <c r="H3" s="81">
        <v>100</v>
      </c>
      <c r="I3" s="44">
        <v>58.78</v>
      </c>
      <c r="J3" s="44">
        <v>0.14000000000000001</v>
      </c>
      <c r="K3" s="44">
        <f>H3*I3-J3</f>
        <v>5877.86</v>
      </c>
      <c r="L3" s="73">
        <v>42899</v>
      </c>
      <c r="M3" s="44">
        <v>48</v>
      </c>
      <c r="O3" s="11" t="s">
        <v>58</v>
      </c>
      <c r="Q3" s="227">
        <f>IF(Q2=0, Q4, (F18-K18-M18)/Q2)</f>
        <v>53.090222222222231</v>
      </c>
      <c r="T3" s="1"/>
    </row>
    <row r="4" spans="1:23" x14ac:dyDescent="0.25">
      <c r="B4" s="498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499"/>
      <c r="H4" s="182"/>
      <c r="I4" s="3"/>
      <c r="J4" s="3"/>
      <c r="K4" s="3"/>
      <c r="L4" s="4"/>
      <c r="M4" s="4"/>
      <c r="O4" s="11" t="s">
        <v>66</v>
      </c>
      <c r="Q4" s="55">
        <v>54.35</v>
      </c>
      <c r="R4" s="517">
        <v>-2.58E-2</v>
      </c>
      <c r="T4" s="160"/>
      <c r="U4" s="1"/>
    </row>
    <row r="5" spans="1:23" x14ac:dyDescent="0.25">
      <c r="B5" s="499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499"/>
      <c r="H5" s="182"/>
      <c r="I5" s="3"/>
      <c r="J5" s="3"/>
      <c r="K5" s="3"/>
      <c r="L5" s="4"/>
      <c r="M5" s="4"/>
      <c r="O5" s="11" t="s">
        <v>67</v>
      </c>
      <c r="Q5" s="3">
        <f>Q4*Q2</f>
        <v>9783</v>
      </c>
    </row>
    <row r="6" spans="1:23" x14ac:dyDescent="0.25">
      <c r="B6" s="498">
        <v>42871</v>
      </c>
      <c r="C6" s="7">
        <v>50</v>
      </c>
      <c r="D6" s="44">
        <v>54.45</v>
      </c>
      <c r="E6" s="44">
        <v>0</v>
      </c>
      <c r="F6" s="44">
        <f t="shared" si="0"/>
        <v>2722.5</v>
      </c>
      <c r="G6" s="499"/>
      <c r="H6" s="182"/>
      <c r="I6" s="3"/>
      <c r="J6" s="3"/>
      <c r="K6" s="3"/>
      <c r="L6" s="4"/>
      <c r="M6" s="4"/>
      <c r="O6" s="11" t="s">
        <v>64</v>
      </c>
      <c r="Q6" s="2">
        <f>Q3*Q2</f>
        <v>9556.2400000000016</v>
      </c>
    </row>
    <row r="7" spans="1:23" x14ac:dyDescent="0.25">
      <c r="B7" s="499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499"/>
      <c r="H7" s="182"/>
      <c r="I7" s="3"/>
      <c r="J7" s="3"/>
      <c r="K7" s="3"/>
      <c r="L7" s="4"/>
      <c r="M7" s="4"/>
      <c r="O7" s="11" t="s">
        <v>179</v>
      </c>
      <c r="Q7" s="2">
        <f>Q10+Q8</f>
        <v>226.7599999999984</v>
      </c>
      <c r="R7">
        <v>80</v>
      </c>
    </row>
    <row r="8" spans="1:23" x14ac:dyDescent="0.25">
      <c r="B8" s="697">
        <v>42956</v>
      </c>
      <c r="C8" s="4">
        <v>100</v>
      </c>
      <c r="D8" s="3">
        <v>57.5</v>
      </c>
      <c r="E8" s="3">
        <v>0</v>
      </c>
      <c r="F8" s="3">
        <f t="shared" si="0"/>
        <v>5750</v>
      </c>
      <c r="G8" s="499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226.7599999999984</v>
      </c>
    </row>
    <row r="9" spans="1:23" x14ac:dyDescent="0.25">
      <c r="B9" s="499"/>
      <c r="C9" s="4"/>
      <c r="D9" s="3"/>
      <c r="E9" s="3"/>
      <c r="F9" s="3"/>
      <c r="G9" s="499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2.3728998015955894E-2</v>
      </c>
    </row>
    <row r="10" spans="1:23" x14ac:dyDescent="0.25">
      <c r="B10" s="499"/>
      <c r="C10" s="4"/>
      <c r="D10" s="3"/>
      <c r="E10" s="3"/>
      <c r="F10" s="3"/>
      <c r="G10" s="499"/>
      <c r="H10" s="182"/>
      <c r="I10" s="3"/>
      <c r="J10" s="3"/>
      <c r="K10" s="3"/>
      <c r="L10" s="499"/>
      <c r="M10" s="4"/>
      <c r="O10" s="11" t="s">
        <v>210</v>
      </c>
      <c r="P10" s="34"/>
      <c r="Q10" s="2">
        <v>0</v>
      </c>
    </row>
    <row r="11" spans="1:23" x14ac:dyDescent="0.25">
      <c r="B11" s="499"/>
      <c r="C11" s="4"/>
      <c r="D11" s="3"/>
      <c r="E11" s="3"/>
      <c r="F11" s="3"/>
      <c r="G11" s="499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4.3499999999999997E-2</v>
      </c>
    </row>
    <row r="12" spans="1:23" x14ac:dyDescent="0.25">
      <c r="B12" s="499"/>
      <c r="C12" s="4"/>
      <c r="D12" s="3"/>
      <c r="E12" s="3"/>
      <c r="F12" s="3"/>
      <c r="G12" s="499"/>
      <c r="H12" s="182"/>
      <c r="I12" s="3"/>
      <c r="J12" s="3"/>
      <c r="K12" s="3"/>
      <c r="L12" s="4"/>
      <c r="M12" s="4"/>
    </row>
    <row r="13" spans="1:23" x14ac:dyDescent="0.25">
      <c r="B13" s="499"/>
      <c r="C13" s="4"/>
      <c r="D13" s="3"/>
      <c r="E13" s="3"/>
      <c r="F13" s="3"/>
      <c r="G13" s="499"/>
      <c r="H13" s="182"/>
      <c r="I13" s="3"/>
      <c r="J13" s="3"/>
      <c r="K13" s="3"/>
      <c r="L13" s="4"/>
      <c r="M13" s="4"/>
    </row>
    <row r="14" spans="1:23" x14ac:dyDescent="0.25">
      <c r="B14" s="499"/>
      <c r="C14" s="4"/>
      <c r="D14" s="3"/>
      <c r="E14" s="3"/>
      <c r="F14" s="3"/>
      <c r="G14" s="499"/>
      <c r="H14" s="182"/>
      <c r="I14" s="3"/>
      <c r="J14" s="3"/>
      <c r="K14" s="3"/>
      <c r="L14" s="4"/>
      <c r="M14" s="4"/>
    </row>
    <row r="15" spans="1:23" x14ac:dyDescent="0.25">
      <c r="B15" s="499"/>
      <c r="C15" s="4"/>
      <c r="D15" s="3"/>
      <c r="E15" s="3"/>
      <c r="F15" s="3"/>
      <c r="G15" s="499"/>
      <c r="H15" s="182"/>
      <c r="I15" s="3"/>
      <c r="J15" s="3"/>
      <c r="K15" s="3"/>
      <c r="L15" s="4"/>
      <c r="M15" s="4"/>
      <c r="O15" s="711" t="s">
        <v>113</v>
      </c>
      <c r="P15" s="711" t="s">
        <v>762</v>
      </c>
      <c r="Q15" s="711" t="s">
        <v>763</v>
      </c>
      <c r="R15" s="709" t="s">
        <v>756</v>
      </c>
      <c r="S15" s="709" t="s">
        <v>757</v>
      </c>
      <c r="T15" s="711" t="s">
        <v>759</v>
      </c>
      <c r="U15" s="711" t="s">
        <v>760</v>
      </c>
      <c r="V15" s="709" t="s">
        <v>758</v>
      </c>
      <c r="W15" s="710" t="s">
        <v>761</v>
      </c>
    </row>
    <row r="16" spans="1:23" x14ac:dyDescent="0.25">
      <c r="G16" s="30"/>
      <c r="H16" s="71"/>
      <c r="O16" s="712">
        <v>42963</v>
      </c>
      <c r="P16" s="708" t="s">
        <v>764</v>
      </c>
      <c r="Q16" s="708"/>
      <c r="R16" s="707">
        <v>1.18</v>
      </c>
      <c r="S16" s="707"/>
      <c r="T16" s="708">
        <v>16.28</v>
      </c>
      <c r="U16" s="708"/>
      <c r="V16" s="705"/>
      <c r="W16" s="706"/>
    </row>
    <row r="17" spans="1:23" x14ac:dyDescent="0.25">
      <c r="G17" s="30"/>
      <c r="O17" s="714"/>
      <c r="P17" s="708"/>
      <c r="Q17" s="708"/>
      <c r="R17" s="707"/>
      <c r="S17" s="705"/>
      <c r="T17" s="708"/>
      <c r="U17" s="708"/>
      <c r="V17" s="705"/>
      <c r="W17" s="706"/>
    </row>
    <row r="18" spans="1:23" x14ac:dyDescent="0.25">
      <c r="A18" s="32" t="s">
        <v>81</v>
      </c>
      <c r="B18" s="500"/>
      <c r="C18" s="14">
        <f>SUM(C2:C14)</f>
        <v>360</v>
      </c>
      <c r="D18" s="18"/>
      <c r="E18" s="18"/>
      <c r="F18" s="18">
        <f>SUM(F2:F14)</f>
        <v>20138.400000000001</v>
      </c>
      <c r="G18" s="14"/>
      <c r="H18" s="14">
        <f>SUM(H2:H13)</f>
        <v>180</v>
      </c>
      <c r="I18" s="18"/>
      <c r="J18" s="18"/>
      <c r="K18" s="18">
        <f>SUM(K2:K13)</f>
        <v>10516.16</v>
      </c>
      <c r="L18" s="14"/>
      <c r="M18" s="18">
        <f>SUM(M2:M10)</f>
        <v>66</v>
      </c>
      <c r="O18" s="713"/>
      <c r="P18" s="708"/>
      <c r="Q18" s="708"/>
      <c r="R18" s="705"/>
      <c r="S18" s="705"/>
      <c r="T18" s="708"/>
      <c r="U18" s="708"/>
      <c r="V18" s="705"/>
      <c r="W18" s="706"/>
    </row>
    <row r="19" spans="1:23" ht="15.75" thickBot="1" x14ac:dyDescent="0.3">
      <c r="A19" s="351" t="s">
        <v>195</v>
      </c>
      <c r="B19" s="501"/>
      <c r="C19" s="353">
        <f>SumByColor($A$19,C2:C17)</f>
        <v>180</v>
      </c>
      <c r="D19" s="353"/>
      <c r="E19" s="353"/>
      <c r="F19" s="354">
        <f>SumByColor($A$19,F2:F17)</f>
        <v>10250</v>
      </c>
      <c r="G19" s="353"/>
      <c r="H19" s="353">
        <f>SumByColor($A$19,H2:H17)</f>
        <v>180</v>
      </c>
      <c r="I19" s="353"/>
      <c r="J19" s="353"/>
      <c r="K19" s="354">
        <f>SumByColor($A$19,K2:K17)</f>
        <v>10516</v>
      </c>
      <c r="L19" s="353"/>
      <c r="M19" s="354">
        <f>SumByColor($A$19,M2:M17)</f>
        <v>66</v>
      </c>
      <c r="O19" s="713"/>
      <c r="P19" s="708"/>
      <c r="Q19" s="708"/>
      <c r="R19" s="705"/>
      <c r="S19" s="705"/>
      <c r="T19" s="708"/>
      <c r="U19" s="708"/>
      <c r="V19" s="705"/>
      <c r="W19" s="706"/>
    </row>
    <row r="20" spans="1:23" x14ac:dyDescent="0.25">
      <c r="O20" s="713"/>
      <c r="P20" s="708"/>
      <c r="Q20" s="708"/>
      <c r="R20" s="705"/>
      <c r="S20" s="705"/>
      <c r="T20" s="708"/>
      <c r="U20" s="708"/>
      <c r="V20" s="705"/>
      <c r="W20" s="706"/>
    </row>
    <row r="21" spans="1:23" x14ac:dyDescent="0.25">
      <c r="O21" s="713"/>
      <c r="P21" s="708"/>
      <c r="Q21" s="708"/>
      <c r="R21" s="705"/>
      <c r="S21" s="705"/>
      <c r="T21" s="708"/>
      <c r="U21" s="708"/>
      <c r="V21" s="705"/>
      <c r="W21" s="706"/>
    </row>
    <row r="22" spans="1:23" x14ac:dyDescent="0.25">
      <c r="O22" s="713"/>
      <c r="P22" s="708"/>
      <c r="Q22" s="708"/>
      <c r="R22" s="705"/>
      <c r="S22" s="705"/>
      <c r="T22" s="708"/>
      <c r="U22" s="708"/>
      <c r="V22" s="705"/>
      <c r="W22" s="706"/>
    </row>
    <row r="23" spans="1:23" x14ac:dyDescent="0.25">
      <c r="B23" s="502" t="s">
        <v>113</v>
      </c>
      <c r="C23" s="188" t="s">
        <v>146</v>
      </c>
      <c r="D23" s="189" t="s">
        <v>145</v>
      </c>
      <c r="E23" s="191" t="s">
        <v>147</v>
      </c>
      <c r="F23" s="191" t="s">
        <v>65</v>
      </c>
      <c r="G23" s="226" t="s">
        <v>151</v>
      </c>
      <c r="H23" s="226" t="s">
        <v>88</v>
      </c>
      <c r="I23" s="226" t="s">
        <v>154</v>
      </c>
      <c r="J23" s="226" t="s">
        <v>150</v>
      </c>
      <c r="O23" s="713"/>
      <c r="P23" s="708"/>
      <c r="Q23" s="708"/>
      <c r="R23" s="705"/>
      <c r="S23" s="705"/>
      <c r="T23" s="708"/>
      <c r="U23" s="708"/>
      <c r="V23" s="705"/>
      <c r="W23" s="706"/>
    </row>
    <row r="24" spans="1:23" x14ac:dyDescent="0.25">
      <c r="B24" s="154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1">C24*(E24-D24)</f>
        <v>-17.400000000000375</v>
      </c>
      <c r="G24" s="10">
        <f t="shared" ref="G24:G29" si="2">D24*C24</f>
        <v>1940.4</v>
      </c>
      <c r="H24" s="159">
        <f>(E24-D24)/D24</f>
        <v>-8.9672232529377314E-3</v>
      </c>
      <c r="I24" s="40"/>
      <c r="J24" s="40"/>
      <c r="O24" s="713"/>
      <c r="P24" s="708"/>
      <c r="Q24" s="708"/>
      <c r="R24" s="705"/>
      <c r="S24" s="705"/>
      <c r="T24" s="708"/>
      <c r="U24" s="708"/>
      <c r="V24" s="705"/>
      <c r="W24" s="706"/>
    </row>
    <row r="25" spans="1:23" x14ac:dyDescent="0.25">
      <c r="B25" s="154">
        <v>42760</v>
      </c>
      <c r="C25" s="10">
        <v>30</v>
      </c>
      <c r="D25" s="40">
        <v>64.680000000000007</v>
      </c>
      <c r="E25" s="40">
        <v>65</v>
      </c>
      <c r="F25" s="40">
        <f t="shared" si="1"/>
        <v>9.5999999999997954</v>
      </c>
      <c r="G25" s="10">
        <f t="shared" si="2"/>
        <v>1940.4</v>
      </c>
      <c r="H25" s="159">
        <f t="shared" ref="H25:H28" si="3">(E25-D25)/D25</f>
        <v>4.947433518861984E-3</v>
      </c>
      <c r="I25" s="40"/>
      <c r="J25" s="40"/>
      <c r="O25" s="713"/>
      <c r="P25" s="708"/>
      <c r="Q25" s="708"/>
      <c r="R25" s="705"/>
      <c r="S25" s="705"/>
      <c r="T25" s="708"/>
      <c r="U25" s="708"/>
      <c r="V25" s="705"/>
      <c r="W25" s="706"/>
    </row>
    <row r="26" spans="1:23" x14ac:dyDescent="0.25">
      <c r="B26" s="154">
        <v>42771</v>
      </c>
      <c r="C26" s="10">
        <v>30</v>
      </c>
      <c r="D26" s="40">
        <v>64.680000000000007</v>
      </c>
      <c r="E26" s="40">
        <v>63.75</v>
      </c>
      <c r="F26" s="40">
        <f t="shared" si="1"/>
        <v>-27.900000000000205</v>
      </c>
      <c r="G26" s="10">
        <f t="shared" si="2"/>
        <v>1940.4</v>
      </c>
      <c r="H26" s="159">
        <f t="shared" si="3"/>
        <v>-1.4378478664193053E-2</v>
      </c>
      <c r="I26" s="40"/>
      <c r="J26" s="40"/>
      <c r="O26" s="713"/>
      <c r="P26" s="708"/>
      <c r="Q26" s="708"/>
      <c r="R26" s="705"/>
      <c r="S26" s="705"/>
      <c r="T26" s="708"/>
      <c r="U26" s="708"/>
      <c r="V26" s="705"/>
      <c r="W26" s="706"/>
    </row>
    <row r="27" spans="1:23" x14ac:dyDescent="0.25">
      <c r="A27" t="s">
        <v>474</v>
      </c>
      <c r="B27" s="154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1"/>
        <v>54.899999999999949</v>
      </c>
      <c r="G27" s="10">
        <f t="shared" si="2"/>
        <v>1940.4</v>
      </c>
      <c r="H27" s="159">
        <f t="shared" si="3"/>
        <v>2.8293135435992548E-2</v>
      </c>
      <c r="I27" s="40"/>
      <c r="J27" s="40"/>
    </row>
    <row r="28" spans="1:23" x14ac:dyDescent="0.25">
      <c r="A28" t="s">
        <v>474</v>
      </c>
      <c r="B28" s="154">
        <v>42795</v>
      </c>
      <c r="C28" s="10">
        <v>30</v>
      </c>
      <c r="D28" s="40">
        <v>64.680000000000007</v>
      </c>
      <c r="E28" s="40">
        <v>57.83</v>
      </c>
      <c r="F28" s="40">
        <f t="shared" si="1"/>
        <v>-205.50000000000026</v>
      </c>
      <c r="G28" s="10">
        <f t="shared" si="2"/>
        <v>1940.4</v>
      </c>
      <c r="H28" s="159">
        <f t="shared" si="3"/>
        <v>-0.10590599876314175</v>
      </c>
      <c r="I28" s="40"/>
      <c r="J28" s="40"/>
    </row>
    <row r="29" spans="1:23" x14ac:dyDescent="0.25">
      <c r="A29" t="s">
        <v>502</v>
      </c>
      <c r="B29" s="154">
        <v>42798</v>
      </c>
      <c r="C29" s="7">
        <v>80</v>
      </c>
      <c r="D29" s="44">
        <v>60.1175</v>
      </c>
      <c r="E29" s="40">
        <v>57.35</v>
      </c>
      <c r="F29" s="40">
        <f t="shared" si="1"/>
        <v>-221.39999999999986</v>
      </c>
      <c r="G29" s="10">
        <f t="shared" si="2"/>
        <v>4809.3999999999996</v>
      </c>
      <c r="H29" s="159">
        <f t="shared" ref="H29" si="4">(E29-D29)/D29</f>
        <v>-4.6034848421840531E-2</v>
      </c>
      <c r="I29" s="40"/>
      <c r="J29" s="40"/>
    </row>
    <row r="30" spans="1:23" x14ac:dyDescent="0.25">
      <c r="A30">
        <v>30</v>
      </c>
      <c r="B30" s="154">
        <v>42800</v>
      </c>
      <c r="C30" s="10">
        <v>80</v>
      </c>
      <c r="D30" s="40">
        <v>60.1175</v>
      </c>
      <c r="E30" s="40">
        <v>56.1</v>
      </c>
      <c r="F30" s="40">
        <f t="shared" ref="F30" si="5">C30*(E30-D30)</f>
        <v>-321.39999999999986</v>
      </c>
      <c r="G30" s="10">
        <f t="shared" ref="G30" si="6">D30*C30</f>
        <v>4809.3999999999996</v>
      </c>
      <c r="H30" s="159">
        <f t="shared" ref="H30" si="7">(E30-D30)/D30</f>
        <v>-6.6827462885183153E-2</v>
      </c>
      <c r="I30" s="40"/>
      <c r="J30" s="40"/>
    </row>
    <row r="31" spans="1:23" x14ac:dyDescent="0.25">
      <c r="A31">
        <v>30</v>
      </c>
      <c r="B31" s="154">
        <v>42805</v>
      </c>
      <c r="C31" s="10">
        <v>80</v>
      </c>
      <c r="D31" s="40">
        <v>59.892499999999998</v>
      </c>
      <c r="E31" s="40">
        <v>55.36</v>
      </c>
      <c r="F31" s="40">
        <f t="shared" ref="F31" si="8">C31*(E31-D31)</f>
        <v>-362.59999999999991</v>
      </c>
      <c r="G31" s="10">
        <f t="shared" ref="G31" si="9">D31*C31</f>
        <v>4791.3999999999996</v>
      </c>
      <c r="H31" s="159">
        <f t="shared" ref="H31" si="10">(E31-D31)/D31</f>
        <v>-7.5677255082021944E-2</v>
      </c>
      <c r="I31" s="40"/>
      <c r="J31" s="40"/>
    </row>
    <row r="32" spans="1:23" x14ac:dyDescent="0.25">
      <c r="A32">
        <v>30</v>
      </c>
      <c r="B32" s="154">
        <v>42808</v>
      </c>
      <c r="C32" s="7">
        <v>80</v>
      </c>
      <c r="D32" s="44">
        <v>59.892499999999998</v>
      </c>
      <c r="E32" s="40">
        <v>54.75</v>
      </c>
      <c r="F32" s="40">
        <f t="shared" ref="F32" si="11">C32*(E32-D32)</f>
        <v>-411.39999999999986</v>
      </c>
      <c r="G32" s="10">
        <f t="shared" ref="G32" si="12">D32*C32</f>
        <v>4791.3999999999996</v>
      </c>
      <c r="H32" s="159">
        <f t="shared" ref="H32" si="13">(E32-D32)/D32</f>
        <v>-8.5862169720749656E-2</v>
      </c>
      <c r="I32" s="40"/>
      <c r="J32" s="40"/>
    </row>
    <row r="33" spans="1:21" x14ac:dyDescent="0.25">
      <c r="A33">
        <v>30</v>
      </c>
      <c r="B33" s="154">
        <v>42809</v>
      </c>
      <c r="C33" s="10">
        <v>130</v>
      </c>
      <c r="D33" s="40">
        <v>57.772300000000001</v>
      </c>
      <c r="E33" s="40">
        <v>54.57</v>
      </c>
      <c r="F33" s="40">
        <f t="shared" ref="F33" si="14">C33*(E33-D33)</f>
        <v>-416.29900000000015</v>
      </c>
      <c r="G33" s="689">
        <f t="shared" ref="G33" si="15">D33*C33</f>
        <v>7510.3990000000003</v>
      </c>
      <c r="H33" s="159">
        <f t="shared" ref="H33" si="16">(E33-D33)/D33</f>
        <v>-5.5429678236802081E-2</v>
      </c>
      <c r="I33" s="40"/>
      <c r="J33" s="40"/>
    </row>
    <row r="34" spans="1:21" x14ac:dyDescent="0.25">
      <c r="A34">
        <v>130</v>
      </c>
      <c r="B34" s="154">
        <v>42862</v>
      </c>
      <c r="C34" s="10">
        <v>130</v>
      </c>
      <c r="D34" s="40">
        <v>57.77</v>
      </c>
      <c r="E34" s="40">
        <v>57.32</v>
      </c>
      <c r="F34" s="40">
        <f t="shared" ref="F34" si="17">C34*(E34-D34)</f>
        <v>-58.500000000000369</v>
      </c>
      <c r="G34" s="10">
        <f t="shared" ref="G34" si="18">D34*C34</f>
        <v>7510.1</v>
      </c>
      <c r="H34" s="159">
        <f t="shared" ref="H34" si="19">(E34-D34)/D34</f>
        <v>-7.7895101263632128E-3</v>
      </c>
      <c r="I34" s="40"/>
      <c r="J34" s="40"/>
    </row>
    <row r="35" spans="1:21" x14ac:dyDescent="0.25">
      <c r="A35">
        <v>50</v>
      </c>
      <c r="B35" s="154">
        <v>42864</v>
      </c>
      <c r="C35" s="10">
        <v>50</v>
      </c>
      <c r="D35" s="40">
        <v>57.442</v>
      </c>
      <c r="E35" s="40">
        <v>58.01</v>
      </c>
      <c r="F35" s="40">
        <f t="shared" ref="F35" si="20">C35*(E35-D35)</f>
        <v>28.399999999999892</v>
      </c>
      <c r="G35" s="10">
        <f t="shared" ref="G35" si="21">D35*C35</f>
        <v>2872.1</v>
      </c>
      <c r="H35" s="159">
        <f t="shared" ref="H35" si="22">(E35-D35)/D35</f>
        <v>9.8882350893074369E-3</v>
      </c>
      <c r="I35" s="40"/>
      <c r="J35" s="40"/>
    </row>
    <row r="36" spans="1:21" x14ac:dyDescent="0.25">
      <c r="A36">
        <v>50</v>
      </c>
      <c r="B36" s="154">
        <v>42866</v>
      </c>
      <c r="C36" s="7">
        <v>80</v>
      </c>
      <c r="D36" s="44">
        <v>56.994999999999997</v>
      </c>
      <c r="E36" s="40">
        <v>56.06</v>
      </c>
      <c r="F36" s="40">
        <f t="shared" ref="F36" si="23">C36*(E36-D36)</f>
        <v>-74.799999999999613</v>
      </c>
      <c r="G36" s="10">
        <f t="shared" ref="G36" si="24">D36*C36</f>
        <v>4559.5999999999995</v>
      </c>
      <c r="H36" s="159">
        <f t="shared" ref="H36" si="25">(E36-D36)/D36</f>
        <v>-1.6404947802438726E-2</v>
      </c>
      <c r="I36" s="40"/>
      <c r="J36" s="40"/>
    </row>
    <row r="37" spans="1:21" x14ac:dyDescent="0.25">
      <c r="A37">
        <v>50</v>
      </c>
      <c r="B37" s="154">
        <v>42871</v>
      </c>
      <c r="C37" s="10">
        <v>130</v>
      </c>
      <c r="D37" s="40">
        <v>56.015999999999998</v>
      </c>
      <c r="E37" s="40">
        <v>54.53</v>
      </c>
      <c r="F37" s="40">
        <f t="shared" ref="F37" si="26">C37*(E37-D37)</f>
        <v>-193.17999999999961</v>
      </c>
      <c r="G37" s="10">
        <f t="shared" ref="G37" si="27">D37*C37</f>
        <v>7282.08</v>
      </c>
      <c r="H37" s="159">
        <f t="shared" ref="H37" si="28">(E37-D37)/D37</f>
        <v>-2.6528134818623199E-2</v>
      </c>
      <c r="I37" s="40"/>
      <c r="J37" s="40"/>
    </row>
    <row r="38" spans="1:21" x14ac:dyDescent="0.25">
      <c r="A38">
        <v>80</v>
      </c>
      <c r="B38" s="154">
        <v>42899</v>
      </c>
      <c r="C38" s="10">
        <v>130</v>
      </c>
      <c r="D38" s="40">
        <v>55.646900000000002</v>
      </c>
      <c r="E38" s="40">
        <v>57.38</v>
      </c>
      <c r="F38" s="40">
        <f t="shared" ref="F38" si="29">C38*(E38-D38)</f>
        <v>225.30300000000005</v>
      </c>
      <c r="G38" s="10">
        <f t="shared" ref="G38" si="30">D38*C38</f>
        <v>7234.0970000000007</v>
      </c>
      <c r="H38" s="159">
        <f t="shared" ref="H38" si="31">(E38-D38)/D38</f>
        <v>3.1144592061732104E-2</v>
      </c>
      <c r="I38" s="40"/>
      <c r="J38" s="40"/>
    </row>
    <row r="39" spans="1:21" x14ac:dyDescent="0.25">
      <c r="A39">
        <v>130</v>
      </c>
      <c r="B39" s="154">
        <v>42904</v>
      </c>
      <c r="C39" s="10">
        <v>180</v>
      </c>
      <c r="D39" s="40">
        <v>53.8</v>
      </c>
      <c r="E39" s="40">
        <v>52.61</v>
      </c>
      <c r="F39" s="40">
        <f t="shared" ref="F39" si="32">C39*(E39-D39)</f>
        <v>-214.19999999999959</v>
      </c>
      <c r="G39" s="10">
        <f t="shared" ref="G39" si="33">D39*C39</f>
        <v>9684</v>
      </c>
      <c r="H39" s="159">
        <f t="shared" ref="H39" si="34">(E39-D39)/D39</f>
        <v>-2.211895910780665E-2</v>
      </c>
      <c r="I39" s="40"/>
      <c r="J39" s="40"/>
    </row>
    <row r="40" spans="1:21" ht="20.25" thickBot="1" x14ac:dyDescent="0.35">
      <c r="B40" s="154">
        <v>42943</v>
      </c>
      <c r="C40" s="10">
        <v>180</v>
      </c>
      <c r="D40" s="40">
        <v>53.8</v>
      </c>
      <c r="E40" s="40">
        <v>56.05</v>
      </c>
      <c r="F40" s="40">
        <f t="shared" ref="F40" si="35">C40*(E40-D40)</f>
        <v>405</v>
      </c>
      <c r="G40" s="10">
        <f t="shared" ref="G40" si="36">D40*C40</f>
        <v>9684</v>
      </c>
      <c r="H40" s="159">
        <f t="shared" ref="H40" si="37">(E40-D40)/D40</f>
        <v>4.1821561338289966E-2</v>
      </c>
      <c r="I40" s="40"/>
      <c r="J40" s="40"/>
      <c r="O40" s="716" t="s">
        <v>78</v>
      </c>
      <c r="P40" s="716"/>
    </row>
    <row r="41" spans="1:21" ht="15.75" thickTop="1" x14ac:dyDescent="0.25">
      <c r="A41">
        <v>80</v>
      </c>
      <c r="B41" s="154">
        <v>42955</v>
      </c>
      <c r="C41" s="10">
        <v>80</v>
      </c>
      <c r="D41" s="40">
        <v>47.578000000000003</v>
      </c>
      <c r="E41" s="40">
        <v>58.74</v>
      </c>
      <c r="F41" s="40">
        <f t="shared" ref="F41" si="38">C41*(E41-D41)</f>
        <v>892.95999999999992</v>
      </c>
      <c r="G41" s="10">
        <f t="shared" ref="G41" si="39">D41*C41</f>
        <v>3806.2400000000002</v>
      </c>
      <c r="H41" s="159">
        <f t="shared" ref="H41" si="40">(E41-D41)/D41</f>
        <v>0.23460422884526458</v>
      </c>
      <c r="I41" s="40"/>
      <c r="J41" s="40"/>
      <c r="O41" s="82">
        <v>1.1000000000000001</v>
      </c>
      <c r="P41" s="82">
        <f>O41*$Q$4</f>
        <v>59.785000000000004</v>
      </c>
      <c r="Q41" s="2"/>
    </row>
    <row r="42" spans="1:21" ht="20.25" thickBot="1" x14ac:dyDescent="0.35">
      <c r="A42">
        <v>80</v>
      </c>
      <c r="B42" s="154">
        <v>42956</v>
      </c>
      <c r="C42" s="10">
        <v>180</v>
      </c>
      <c r="D42" s="40">
        <v>53.09</v>
      </c>
      <c r="E42" s="40">
        <v>57.87</v>
      </c>
      <c r="F42" s="40">
        <f t="shared" ref="F42" si="41">C42*(E42-D42)</f>
        <v>860.39999999999895</v>
      </c>
      <c r="G42" s="10">
        <f t="shared" ref="G42" si="42">D42*C42</f>
        <v>9556.2000000000007</v>
      </c>
      <c r="H42" s="159">
        <f t="shared" ref="H42" si="43">(E42-D42)/D42</f>
        <v>9.0035788284045848E-2</v>
      </c>
      <c r="I42" s="40"/>
      <c r="J42" s="40"/>
      <c r="O42" s="82">
        <v>1.0900000000000001</v>
      </c>
      <c r="P42" s="82">
        <f t="shared" ref="P42:P61" si="44">O42*$Q$4</f>
        <v>59.241500000000009</v>
      </c>
      <c r="Q42" s="2"/>
      <c r="T42" s="90" t="s">
        <v>112</v>
      </c>
    </row>
    <row r="43" spans="1:21" ht="15.75" thickTop="1" x14ac:dyDescent="0.25">
      <c r="B43" s="154"/>
      <c r="C43" s="10"/>
      <c r="D43" s="40"/>
      <c r="E43" s="40"/>
      <c r="F43" s="40"/>
      <c r="G43" s="10"/>
      <c r="H43" s="159"/>
      <c r="I43" s="40"/>
      <c r="J43" s="40"/>
      <c r="O43" s="82">
        <v>1.08</v>
      </c>
      <c r="P43" s="82">
        <f t="shared" si="44"/>
        <v>58.698000000000008</v>
      </c>
      <c r="Q43" s="2"/>
      <c r="T43" s="126" t="s">
        <v>97</v>
      </c>
      <c r="U43" s="127">
        <v>53.43</v>
      </c>
    </row>
    <row r="44" spans="1:21" x14ac:dyDescent="0.25">
      <c r="B44" s="154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4"/>
        <v>58.154500000000006</v>
      </c>
      <c r="Q44" s="2"/>
      <c r="T44" s="92" t="s">
        <v>98</v>
      </c>
      <c r="U44" s="128">
        <v>53.55</v>
      </c>
    </row>
    <row r="45" spans="1:21" x14ac:dyDescent="0.25">
      <c r="B45" s="154"/>
      <c r="C45" s="10"/>
      <c r="D45" s="40"/>
      <c r="E45" s="40"/>
      <c r="F45" s="40"/>
      <c r="G45" s="10"/>
      <c r="H45" s="159"/>
      <c r="I45" s="40"/>
      <c r="J45" s="40"/>
      <c r="O45" s="82">
        <v>1.06</v>
      </c>
      <c r="P45" s="82">
        <f t="shared" si="44"/>
        <v>57.611000000000004</v>
      </c>
      <c r="Q45" s="2"/>
      <c r="T45" s="92" t="s">
        <v>99</v>
      </c>
      <c r="U45" s="128" t="s">
        <v>128</v>
      </c>
    </row>
    <row r="46" spans="1:21" x14ac:dyDescent="0.25">
      <c r="B46" s="154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4"/>
        <v>57.067500000000003</v>
      </c>
      <c r="Q46" s="2"/>
      <c r="T46" s="92" t="s">
        <v>100</v>
      </c>
      <c r="U46" s="128" t="s">
        <v>128</v>
      </c>
    </row>
    <row r="47" spans="1:21" x14ac:dyDescent="0.25">
      <c r="B47" s="154"/>
      <c r="C47" s="10"/>
      <c r="D47" s="40"/>
      <c r="E47" s="40"/>
      <c r="F47" s="40"/>
      <c r="G47" s="10"/>
      <c r="H47" s="159"/>
      <c r="I47" s="40"/>
      <c r="J47" s="40"/>
      <c r="O47" s="82">
        <v>1.04</v>
      </c>
      <c r="P47" s="82">
        <f t="shared" si="44"/>
        <v>56.524000000000001</v>
      </c>
      <c r="Q47" s="2"/>
      <c r="T47" s="92" t="s">
        <v>101</v>
      </c>
      <c r="U47" s="128">
        <v>61.81</v>
      </c>
    </row>
    <row r="48" spans="1:21" x14ac:dyDescent="0.25">
      <c r="O48" s="82">
        <v>1.03</v>
      </c>
      <c r="P48" s="82">
        <f t="shared" si="44"/>
        <v>55.980500000000006</v>
      </c>
      <c r="Q48" s="2"/>
      <c r="T48" s="92" t="s">
        <v>102</v>
      </c>
      <c r="U48" s="128">
        <v>0.240561</v>
      </c>
    </row>
    <row r="49" spans="15:21" x14ac:dyDescent="0.25">
      <c r="O49" s="82">
        <v>1.02</v>
      </c>
      <c r="P49" s="82">
        <f t="shared" si="44"/>
        <v>55.437000000000005</v>
      </c>
      <c r="Q49" s="2"/>
      <c r="T49" s="92" t="s">
        <v>103</v>
      </c>
      <c r="U49" s="128" t="s">
        <v>512</v>
      </c>
    </row>
    <row r="50" spans="15:21" x14ac:dyDescent="0.25">
      <c r="O50" s="82">
        <v>1.01</v>
      </c>
      <c r="P50" s="82">
        <f t="shared" si="44"/>
        <v>54.893500000000003</v>
      </c>
      <c r="Q50" s="2"/>
      <c r="T50" s="92"/>
      <c r="U50" s="128"/>
    </row>
    <row r="51" spans="15:21" x14ac:dyDescent="0.25">
      <c r="O51" s="82">
        <v>1</v>
      </c>
      <c r="P51" s="82">
        <f t="shared" si="44"/>
        <v>54.35</v>
      </c>
      <c r="Q51" s="2"/>
      <c r="T51" s="92" t="s">
        <v>104</v>
      </c>
      <c r="U51" s="128" t="s">
        <v>691</v>
      </c>
    </row>
    <row r="52" spans="15:21" x14ac:dyDescent="0.25">
      <c r="O52" s="82">
        <v>0.99</v>
      </c>
      <c r="P52" s="82">
        <f t="shared" si="44"/>
        <v>53.8065</v>
      </c>
      <c r="Q52" s="2"/>
      <c r="T52" s="92" t="s">
        <v>105</v>
      </c>
      <c r="U52" s="128" t="s">
        <v>692</v>
      </c>
    </row>
    <row r="53" spans="15:21" x14ac:dyDescent="0.25">
      <c r="O53" s="82">
        <v>0.98</v>
      </c>
      <c r="P53" s="82">
        <f t="shared" si="44"/>
        <v>53.262999999999998</v>
      </c>
      <c r="Q53" s="2"/>
      <c r="T53" s="92" t="s">
        <v>106</v>
      </c>
      <c r="U53" s="129">
        <v>6810845</v>
      </c>
    </row>
    <row r="54" spans="15:21" x14ac:dyDescent="0.25">
      <c r="O54" s="82">
        <v>0.97</v>
      </c>
      <c r="P54" s="82">
        <f t="shared" si="44"/>
        <v>52.719499999999996</v>
      </c>
      <c r="T54" s="92" t="s">
        <v>109</v>
      </c>
      <c r="U54" s="129">
        <v>7775990</v>
      </c>
    </row>
    <row r="55" spans="15:21" x14ac:dyDescent="0.25">
      <c r="O55" s="82">
        <v>0.96</v>
      </c>
      <c r="P55" s="82">
        <f t="shared" si="44"/>
        <v>52.176000000000002</v>
      </c>
      <c r="T55" s="92" t="s">
        <v>107</v>
      </c>
      <c r="U55" s="128" t="s">
        <v>693</v>
      </c>
    </row>
    <row r="56" spans="15:21" x14ac:dyDescent="0.25">
      <c r="O56" s="82">
        <v>0.95</v>
      </c>
      <c r="P56" s="82">
        <f t="shared" si="44"/>
        <v>51.6325</v>
      </c>
      <c r="T56" s="92" t="s">
        <v>110</v>
      </c>
      <c r="U56" s="128">
        <v>11.23</v>
      </c>
    </row>
    <row r="57" spans="15:21" x14ac:dyDescent="0.25">
      <c r="O57" s="82">
        <v>0.94</v>
      </c>
      <c r="P57" s="82">
        <f t="shared" si="44"/>
        <v>51.088999999999999</v>
      </c>
      <c r="T57" s="92" t="s">
        <v>111</v>
      </c>
      <c r="U57" s="128">
        <v>4.7</v>
      </c>
    </row>
    <row r="58" spans="15:21" x14ac:dyDescent="0.25">
      <c r="O58" s="82">
        <v>0.93</v>
      </c>
      <c r="P58" s="82">
        <f t="shared" si="44"/>
        <v>50.545500000000004</v>
      </c>
      <c r="T58" s="92" t="s">
        <v>108</v>
      </c>
      <c r="U58" s="128" t="s">
        <v>590</v>
      </c>
    </row>
    <row r="59" spans="15:21" x14ac:dyDescent="0.25">
      <c r="O59" s="82">
        <v>0.92</v>
      </c>
      <c r="P59" s="82">
        <f t="shared" si="44"/>
        <v>50.002000000000002</v>
      </c>
    </row>
    <row r="60" spans="15:21" x14ac:dyDescent="0.25">
      <c r="O60" s="82">
        <v>0.91</v>
      </c>
      <c r="P60" s="82">
        <f t="shared" si="44"/>
        <v>49.458500000000001</v>
      </c>
    </row>
    <row r="61" spans="15:21" x14ac:dyDescent="0.25">
      <c r="O61" s="82">
        <v>0.9</v>
      </c>
      <c r="P61" s="82">
        <f t="shared" si="44"/>
        <v>48.914999999999999</v>
      </c>
    </row>
  </sheetData>
  <mergeCells count="1">
    <mergeCell ref="O40:P40"/>
  </mergeCells>
  <conditionalFormatting sqref="O41:O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80" priority="30">
      <formula>Q7&gt;0</formula>
    </cfRule>
    <cfRule type="expression" dxfId="379" priority="31">
      <formula>Q7&lt;0</formula>
    </cfRule>
  </conditionalFormatting>
  <conditionalFormatting sqref="Q8">
    <cfRule type="expression" dxfId="378" priority="28">
      <formula>Q8&gt;0</formula>
    </cfRule>
    <cfRule type="expression" dxfId="377" priority="29">
      <formula>Q8&lt;0</formula>
    </cfRule>
  </conditionalFormatting>
  <conditionalFormatting sqref="F24:F42">
    <cfRule type="expression" dxfId="376" priority="12">
      <formula>F24&gt;0</formula>
    </cfRule>
    <cfRule type="expression" dxfId="375" priority="13">
      <formula>F24&lt;0</formula>
    </cfRule>
  </conditionalFormatting>
  <conditionalFormatting sqref="H45 H47 H24:H43">
    <cfRule type="expression" dxfId="374" priority="10">
      <formula>H24&gt;0</formula>
    </cfRule>
    <cfRule type="expression" dxfId="373" priority="11">
      <formula>H24&lt;0</formula>
    </cfRule>
  </conditionalFormatting>
  <conditionalFormatting sqref="J29">
    <cfRule type="expression" dxfId="372" priority="8">
      <formula>J29&gt;0</formula>
    </cfRule>
    <cfRule type="expression" dxfId="371" priority="9">
      <formula>J29&lt;0</formula>
    </cfRule>
  </conditionalFormatting>
  <conditionalFormatting sqref="J30:J35">
    <cfRule type="expression" dxfId="370" priority="6">
      <formula>J30&gt;0</formula>
    </cfRule>
    <cfRule type="expression" dxfId="369" priority="7">
      <formula>J30&lt;0</formula>
    </cfRule>
  </conditionalFormatting>
  <conditionalFormatting sqref="J36:J37">
    <cfRule type="expression" dxfId="368" priority="4">
      <formula>J36&gt;0</formula>
    </cfRule>
    <cfRule type="expression" dxfId="367" priority="5">
      <formula>J36&lt;0</formula>
    </cfRule>
  </conditionalFormatting>
  <conditionalFormatting sqref="J38:J45">
    <cfRule type="expression" dxfId="366" priority="2">
      <formula>J38&gt;0</formula>
    </cfRule>
    <cfRule type="expression" dxfId="365" priority="3">
      <formula>J38&lt;0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1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5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50.21</v>
      </c>
      <c r="T3" s="1">
        <v>42312</v>
      </c>
      <c r="U3" t="s">
        <v>148</v>
      </c>
      <c r="W3" s="131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5">
        <f t="shared" ref="AE3:AE66" si="1">AC3/AC4-1</f>
        <v>-1.7028522775649146E-2</v>
      </c>
      <c r="AL3" s="231"/>
      <c r="AO3" s="231"/>
    </row>
    <row r="4" spans="1:41" x14ac:dyDescent="0.25">
      <c r="B4" s="4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50.21</v>
      </c>
      <c r="R4" s="497">
        <v>2.2000000000000001E-3</v>
      </c>
      <c r="W4" s="131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5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5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5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75.019999999999982</v>
      </c>
      <c r="R7">
        <v>0</v>
      </c>
      <c r="W7" s="131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5">
        <f t="shared" si="1"/>
        <v>6.2893081760995173E-4</v>
      </c>
    </row>
    <row r="8" spans="1:4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5">
        <f t="shared" si="1"/>
        <v>-2.0959966464051405E-4</v>
      </c>
    </row>
    <row r="9" spans="1:41" x14ac:dyDescent="0.25">
      <c r="O9" s="11" t="s">
        <v>211</v>
      </c>
      <c r="Q9" s="135">
        <f>IF(Q2=0, 0, Q8/Q6)</f>
        <v>0</v>
      </c>
      <c r="W9" s="131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5">
        <f t="shared" si="1"/>
        <v>8.3910216068794341E-4</v>
      </c>
    </row>
    <row r="10" spans="1:41" x14ac:dyDescent="0.25">
      <c r="O10" s="11" t="s">
        <v>210</v>
      </c>
      <c r="P10" s="34"/>
      <c r="Q10" s="2">
        <f>M36</f>
        <v>75.019999999999982</v>
      </c>
      <c r="W10" s="131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5">
        <f t="shared" si="1"/>
        <v>-4.5938609313008749E-3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1.61E-2</v>
      </c>
      <c r="W11" s="131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5">
        <f t="shared" si="1"/>
        <v>-4.1588687876897845E-3</v>
      </c>
    </row>
    <row r="12" spans="1:41" x14ac:dyDescent="0.25">
      <c r="W12" s="131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5">
        <f t="shared" si="1"/>
        <v>-8.0445544554453852E-3</v>
      </c>
    </row>
    <row r="13" spans="1:41" x14ac:dyDescent="0.25">
      <c r="W13" s="131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5">
        <f t="shared" si="1"/>
        <v>-1.8529956763434496E-3</v>
      </c>
    </row>
    <row r="14" spans="1:41" x14ac:dyDescent="0.25">
      <c r="W14" s="131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5">
        <f t="shared" si="1"/>
        <v>3.0978934324659146E-3</v>
      </c>
    </row>
    <row r="15" spans="1:41" x14ac:dyDescent="0.25">
      <c r="W15" s="131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5">
        <f t="shared" si="1"/>
        <v>2.0656889072512286E-4</v>
      </c>
    </row>
    <row r="16" spans="1:41" x14ac:dyDescent="0.25">
      <c r="W16" s="131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5">
        <f t="shared" si="1"/>
        <v>-1.1233660130719025E-2</v>
      </c>
    </row>
    <row r="17" spans="1:31" x14ac:dyDescent="0.25">
      <c r="W17" s="131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5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0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1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5">
        <f t="shared" si="1"/>
        <v>-1.2564366632337731E-2</v>
      </c>
    </row>
    <row r="19" spans="1:31" x14ac:dyDescent="0.25">
      <c r="G19" s="2"/>
      <c r="W19" s="131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5">
        <f t="shared" si="1"/>
        <v>-2.4655845490035855E-3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5">
        <f t="shared" si="1"/>
        <v>4.7481420313790768E-3</v>
      </c>
    </row>
    <row r="21" spans="1:31" x14ac:dyDescent="0.25">
      <c r="B21" s="19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8">
        <f>(E21-D21)/D21</f>
        <v>-1.6581321628871E-2</v>
      </c>
      <c r="I21" s="228"/>
      <c r="W21" s="131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5">
        <f t="shared" si="1"/>
        <v>-6.3589743589743675E-3</v>
      </c>
    </row>
    <row r="22" spans="1:31" x14ac:dyDescent="0.25">
      <c r="B22" s="19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8">
        <f>(E22-D22)/D22</f>
        <v>-8.5793590714105611E-2</v>
      </c>
      <c r="I22" s="228"/>
      <c r="W22" s="131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5">
        <f t="shared" si="1"/>
        <v>4.5332783845044577E-3</v>
      </c>
    </row>
    <row r="23" spans="1:31" x14ac:dyDescent="0.25">
      <c r="B23" s="19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8">
        <f>(E23-D23)/D23</f>
        <v>-5.4756497602826179E-2</v>
      </c>
      <c r="I23" s="228"/>
      <c r="W23" s="131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5">
        <f t="shared" si="1"/>
        <v>-9.1874234381379427E-3</v>
      </c>
    </row>
    <row r="24" spans="1:31" x14ac:dyDescent="0.25">
      <c r="B24" s="19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8">
        <f t="shared" ref="H24:H30" si="4">(E24-D24)/D24</f>
        <v>-3.9470397202098384E-2</v>
      </c>
      <c r="I24" s="228"/>
      <c r="W24" s="131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5">
        <f t="shared" si="1"/>
        <v>-7.2963113092826548E-3</v>
      </c>
    </row>
    <row r="25" spans="1:31" x14ac:dyDescent="0.25">
      <c r="B25" s="19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29">
        <f t="shared" si="4"/>
        <v>-6.9474703461631676E-2</v>
      </c>
      <c r="I25" s="229"/>
      <c r="W25" s="131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5">
        <f t="shared" si="1"/>
        <v>2.0271639975688593E-4</v>
      </c>
    </row>
    <row r="26" spans="1:31" x14ac:dyDescent="0.25">
      <c r="B26" s="19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29">
        <f t="shared" si="4"/>
        <v>-4.3572984749455437E-2</v>
      </c>
      <c r="I26" s="229"/>
      <c r="W26" s="131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5">
        <f t="shared" si="1"/>
        <v>-5.4435483870968193E-3</v>
      </c>
    </row>
    <row r="27" spans="1:31" x14ac:dyDescent="0.25">
      <c r="B27" s="19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29">
        <f t="shared" si="4"/>
        <v>-2.4089093330105251E-2</v>
      </c>
      <c r="I27" s="229"/>
      <c r="W27" s="131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5">
        <f t="shared" si="1"/>
        <v>1.162553538649802E-2</v>
      </c>
    </row>
    <row r="28" spans="1:31" x14ac:dyDescent="0.25">
      <c r="B28" s="19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29">
        <f t="shared" si="4"/>
        <v>-7.8682968163661261E-3</v>
      </c>
      <c r="I28" s="229"/>
      <c r="W28" s="131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5">
        <f t="shared" si="1"/>
        <v>-9.2948070317235842E-3</v>
      </c>
    </row>
    <row r="29" spans="1:31" x14ac:dyDescent="0.25">
      <c r="B29" s="19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29">
        <f t="shared" si="4"/>
        <v>-4.1520397046362338E-2</v>
      </c>
      <c r="I29" s="229"/>
      <c r="W29" s="131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5">
        <f t="shared" si="1"/>
        <v>1.6848161084857205E-2</v>
      </c>
    </row>
    <row r="30" spans="1:31" x14ac:dyDescent="0.25">
      <c r="B30" s="19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29">
        <f t="shared" si="4"/>
        <v>1.5736593632731564E-3</v>
      </c>
      <c r="I30" s="229"/>
      <c r="W30" s="131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5" t="e">
        <f t="shared" si="1"/>
        <v>#DIV/0!</v>
      </c>
    </row>
    <row r="31" spans="1:31" x14ac:dyDescent="0.25">
      <c r="B31" s="19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29">
        <f>(E31-D31)/D31</f>
        <v>2.1990457963879731E-2</v>
      </c>
      <c r="I31" s="229" t="s">
        <v>183</v>
      </c>
      <c r="W31" s="131">
        <v>42790</v>
      </c>
      <c r="X31" s="10" t="s">
        <v>178</v>
      </c>
      <c r="Y31" s="10"/>
      <c r="Z31" s="10"/>
      <c r="AA31" s="10"/>
      <c r="AB31" s="94"/>
      <c r="AC31" s="10"/>
      <c r="AD31" s="2">
        <f t="shared" si="0"/>
        <v>0</v>
      </c>
      <c r="AE31" s="135">
        <f t="shared" si="1"/>
        <v>-1</v>
      </c>
    </row>
    <row r="32" spans="1:31" x14ac:dyDescent="0.25">
      <c r="B32" s="190">
        <v>42447</v>
      </c>
      <c r="C32" s="10">
        <v>0</v>
      </c>
      <c r="D32" s="40"/>
      <c r="E32" s="40"/>
      <c r="F32" s="40">
        <v>75.02</v>
      </c>
      <c r="G32" s="40"/>
      <c r="H32" s="229"/>
      <c r="I32" s="229"/>
      <c r="W32" s="131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5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5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5">
        <f t="shared" si="1"/>
        <v>-3.2292787944027124E-3</v>
      </c>
    </row>
    <row r="35" spans="1:31" x14ac:dyDescent="0.25">
      <c r="W35" s="131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5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1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5">
        <f t="shared" si="1"/>
        <v>-8.2837723024639098E-3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5">
        <f t="shared" si="1"/>
        <v>-5.4921841994086673E-3</v>
      </c>
    </row>
    <row r="38" spans="1:31" x14ac:dyDescent="0.25">
      <c r="A38" s="385" t="s">
        <v>174</v>
      </c>
      <c r="B38" s="375">
        <v>42376</v>
      </c>
      <c r="C38" s="376">
        <v>60</v>
      </c>
      <c r="D38" s="377">
        <v>41.01</v>
      </c>
      <c r="E38" s="377">
        <v>0</v>
      </c>
      <c r="F38" s="377">
        <f>C38*D38</f>
        <v>2460.6</v>
      </c>
      <c r="G38" s="375">
        <v>42426</v>
      </c>
      <c r="H38" s="380">
        <v>20</v>
      </c>
      <c r="I38" s="377">
        <v>38.450000000000003</v>
      </c>
      <c r="J38" s="377">
        <v>0.02</v>
      </c>
      <c r="K38" s="377">
        <f>H38*I38-J38</f>
        <v>768.98</v>
      </c>
      <c r="L38" s="375">
        <v>42444</v>
      </c>
      <c r="M38" s="377">
        <v>15.2</v>
      </c>
      <c r="W38" s="131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5">
        <f t="shared" si="1"/>
        <v>1.0027736291871259E-2</v>
      </c>
    </row>
    <row r="39" spans="1:31" x14ac:dyDescent="0.25">
      <c r="A39" s="386" t="s">
        <v>71</v>
      </c>
      <c r="B39" s="375">
        <v>42403</v>
      </c>
      <c r="C39" s="376">
        <v>20</v>
      </c>
      <c r="D39" s="377">
        <v>35.5</v>
      </c>
      <c r="E39" s="377">
        <v>0</v>
      </c>
      <c r="F39" s="377">
        <f>C39*D39</f>
        <v>710</v>
      </c>
      <c r="G39" s="375">
        <v>42426</v>
      </c>
      <c r="H39" s="380">
        <v>30</v>
      </c>
      <c r="I39" s="377">
        <v>38.75</v>
      </c>
      <c r="J39" s="377">
        <v>0.03</v>
      </c>
      <c r="K39" s="377">
        <f>H39*I39-J39</f>
        <v>1162.47</v>
      </c>
      <c r="L39" s="376"/>
      <c r="M39" s="376"/>
      <c r="W39" s="131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5">
        <f t="shared" si="1"/>
        <v>1.4957264957264904E-3</v>
      </c>
    </row>
    <row r="40" spans="1:31" x14ac:dyDescent="0.25">
      <c r="A40" s="376"/>
      <c r="B40" s="376"/>
      <c r="C40" s="376"/>
      <c r="D40" s="377"/>
      <c r="E40" s="377"/>
      <c r="F40" s="377"/>
      <c r="G40" s="375">
        <v>42447</v>
      </c>
      <c r="H40" s="380">
        <v>30</v>
      </c>
      <c r="I40" s="377">
        <v>43.3</v>
      </c>
      <c r="J40" s="377">
        <v>0.03</v>
      </c>
      <c r="K40" s="377">
        <f>H40*I40-J40</f>
        <v>1298.97</v>
      </c>
      <c r="L40" s="376"/>
      <c r="M40" s="376"/>
      <c r="W40" s="131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5">
        <f t="shared" si="1"/>
        <v>1.4304291287386084E-2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5">
        <f t="shared" si="1"/>
        <v>3.4797738147021029E-3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242" t="s">
        <v>78</v>
      </c>
      <c r="P42" s="242"/>
      <c r="Q42" s="34"/>
      <c r="R42" s="34"/>
      <c r="T42" s="90" t="s">
        <v>112</v>
      </c>
      <c r="W42" s="131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5">
        <f t="shared" si="1"/>
        <v>1.4115571239523561E-2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55.231000000000009</v>
      </c>
      <c r="Q43" s="34"/>
      <c r="R43" s="34"/>
      <c r="T43" s="126" t="s">
        <v>97</v>
      </c>
      <c r="U43" s="97">
        <v>46.18</v>
      </c>
      <c r="W43" s="131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5">
        <f t="shared" si="1"/>
        <v>2.9284903518728811E-2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5">O44*$Q$4</f>
        <v>54.728900000000003</v>
      </c>
      <c r="Q44" s="34"/>
      <c r="R44" s="34"/>
      <c r="T44" s="92" t="s">
        <v>98</v>
      </c>
      <c r="U44" s="87">
        <v>46.21</v>
      </c>
      <c r="W44" s="131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5">
        <f t="shared" si="1"/>
        <v>-5.6745182012848061E-2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5"/>
        <v>54.226800000000004</v>
      </c>
      <c r="Q45" s="34"/>
      <c r="R45" s="34"/>
      <c r="T45" s="92" t="s">
        <v>99</v>
      </c>
      <c r="U45" s="87" t="s">
        <v>128</v>
      </c>
      <c r="W45" s="131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5">
        <f t="shared" si="1"/>
        <v>-1.9319613607727715E-2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5"/>
        <v>53.724700000000006</v>
      </c>
      <c r="Q46" s="82"/>
      <c r="R46" s="34"/>
      <c r="T46" s="92" t="s">
        <v>100</v>
      </c>
      <c r="U46" s="87" t="s">
        <v>128</v>
      </c>
      <c r="W46" s="131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5">
        <f t="shared" si="1"/>
        <v>7.6174354633939956E-3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5"/>
        <v>53.222600000000007</v>
      </c>
      <c r="Q47" s="82"/>
      <c r="R47" s="34"/>
      <c r="T47" s="92" t="s">
        <v>101</v>
      </c>
      <c r="U47" s="87">
        <v>57.29</v>
      </c>
      <c r="W47" s="131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5">
        <f t="shared" si="1"/>
        <v>2.545608824777279E-3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5"/>
        <v>52.720500000000001</v>
      </c>
      <c r="Q48" s="82"/>
      <c r="R48" s="34"/>
      <c r="T48" s="92" t="s">
        <v>102</v>
      </c>
      <c r="U48" s="87">
        <v>1.14788</v>
      </c>
      <c r="W48" s="131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5">
        <f t="shared" si="1"/>
        <v>2.2781514428292349E-2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5"/>
        <v>52.218400000000003</v>
      </c>
      <c r="Q49" s="82"/>
      <c r="R49" s="34"/>
      <c r="T49" s="92" t="s">
        <v>103</v>
      </c>
      <c r="U49" s="87" t="s">
        <v>591</v>
      </c>
      <c r="W49" s="131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5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0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51.716300000000004</v>
      </c>
      <c r="Q50" s="82"/>
      <c r="R50" s="34"/>
      <c r="T50" s="92"/>
      <c r="U50" s="87"/>
      <c r="W50" s="131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5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51.214200000000005</v>
      </c>
      <c r="Q51" s="82"/>
      <c r="R51" s="34"/>
      <c r="T51" s="92" t="s">
        <v>104</v>
      </c>
      <c r="U51" s="87" t="s">
        <v>694</v>
      </c>
      <c r="W51" s="131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5">
        <f t="shared" si="1"/>
        <v>-1.2197731649903676E-2</v>
      </c>
    </row>
    <row r="52" spans="1:31" x14ac:dyDescent="0.25">
      <c r="O52" s="82">
        <v>1.01</v>
      </c>
      <c r="P52" s="82">
        <f t="shared" si="5"/>
        <v>50.7121</v>
      </c>
      <c r="Q52" s="82"/>
      <c r="R52" s="34"/>
      <c r="T52" s="92" t="s">
        <v>105</v>
      </c>
      <c r="U52" s="87" t="s">
        <v>564</v>
      </c>
      <c r="W52" s="131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5">
        <f t="shared" si="1"/>
        <v>-5.5330921472654948E-3</v>
      </c>
    </row>
    <row r="53" spans="1:31" x14ac:dyDescent="0.25">
      <c r="O53" s="82">
        <v>1</v>
      </c>
      <c r="P53" s="82">
        <f t="shared" si="5"/>
        <v>50.21</v>
      </c>
      <c r="Q53" s="82"/>
      <c r="R53" s="34"/>
      <c r="T53" s="92" t="s">
        <v>106</v>
      </c>
      <c r="U53" s="89">
        <v>3463916</v>
      </c>
      <c r="W53" s="131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5">
        <f t="shared" si="1"/>
        <v>1.6439541423318271E-2</v>
      </c>
    </row>
    <row r="54" spans="1:31" x14ac:dyDescent="0.25">
      <c r="O54" s="82">
        <v>0.99</v>
      </c>
      <c r="P54" s="82">
        <f t="shared" si="5"/>
        <v>49.707900000000002</v>
      </c>
      <c r="Q54" s="82"/>
      <c r="R54" s="34"/>
      <c r="T54" s="92" t="s">
        <v>109</v>
      </c>
      <c r="U54" s="89">
        <v>4068010</v>
      </c>
      <c r="W54" s="131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5">
        <f t="shared" si="1"/>
        <v>7.4090215733273457E-3</v>
      </c>
    </row>
    <row r="55" spans="1:31" x14ac:dyDescent="0.25">
      <c r="O55" s="82">
        <v>0.98</v>
      </c>
      <c r="P55" s="82">
        <f t="shared" si="5"/>
        <v>49.205799999999996</v>
      </c>
      <c r="Q55" s="82"/>
      <c r="T55" s="92" t="s">
        <v>107</v>
      </c>
      <c r="U55" s="87" t="s">
        <v>695</v>
      </c>
      <c r="W55" s="131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5">
        <f t="shared" si="1"/>
        <v>2.4027959807775279E-3</v>
      </c>
    </row>
    <row r="56" spans="1:31" x14ac:dyDescent="0.25">
      <c r="O56" s="82">
        <v>0.97</v>
      </c>
      <c r="P56" s="82">
        <f t="shared" si="5"/>
        <v>48.703699999999998</v>
      </c>
      <c r="Q56" s="82"/>
      <c r="T56" s="92" t="s">
        <v>110</v>
      </c>
      <c r="U56" s="87">
        <v>36.78</v>
      </c>
      <c r="W56" s="131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5">
        <f t="shared" si="1"/>
        <v>-3.3361486486486402E-2</v>
      </c>
    </row>
    <row r="57" spans="1:31" x14ac:dyDescent="0.25">
      <c r="O57" s="82">
        <v>0.96</v>
      </c>
      <c r="P57" s="82">
        <f t="shared" si="5"/>
        <v>48.201599999999999</v>
      </c>
      <c r="Q57" s="82"/>
      <c r="T57" s="92" t="s">
        <v>111</v>
      </c>
      <c r="U57" s="87">
        <v>1.25</v>
      </c>
      <c r="W57" s="131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5">
        <f t="shared" si="1"/>
        <v>-3.3670033670034627E-3</v>
      </c>
    </row>
    <row r="58" spans="1:31" x14ac:dyDescent="0.25">
      <c r="O58" s="82">
        <v>0.95</v>
      </c>
      <c r="P58" s="82">
        <f t="shared" si="5"/>
        <v>47.6995</v>
      </c>
      <c r="Q58" s="82"/>
      <c r="T58" s="92" t="s">
        <v>108</v>
      </c>
      <c r="U58" s="87" t="s">
        <v>592</v>
      </c>
      <c r="W58" s="131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5">
        <f t="shared" si="1"/>
        <v>1.5167699209570618E-2</v>
      </c>
    </row>
    <row r="59" spans="1:31" x14ac:dyDescent="0.25">
      <c r="O59" s="82">
        <v>0.94</v>
      </c>
      <c r="P59" s="82">
        <f t="shared" si="5"/>
        <v>47.197399999999995</v>
      </c>
      <c r="Q59" s="82"/>
      <c r="W59" s="131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5">
        <f t="shared" si="1"/>
        <v>-2.5569997869165917E-3</v>
      </c>
    </row>
    <row r="60" spans="1:31" x14ac:dyDescent="0.25">
      <c r="O60" s="82">
        <v>0.93</v>
      </c>
      <c r="P60" s="82">
        <f t="shared" si="5"/>
        <v>46.695300000000003</v>
      </c>
      <c r="Q60" s="82"/>
      <c r="W60" s="131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5">
        <f t="shared" si="1"/>
        <v>5.1402869993575351E-3</v>
      </c>
    </row>
    <row r="61" spans="1:31" x14ac:dyDescent="0.25">
      <c r="O61" s="82">
        <v>0.92</v>
      </c>
      <c r="P61" s="82">
        <f t="shared" si="5"/>
        <v>46.193200000000004</v>
      </c>
      <c r="Q61" s="82"/>
      <c r="W61" s="131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5">
        <f t="shared" si="1"/>
        <v>-1.923899102180493E-3</v>
      </c>
    </row>
    <row r="62" spans="1:31" x14ac:dyDescent="0.25">
      <c r="O62" s="82">
        <v>0.91</v>
      </c>
      <c r="P62" s="82">
        <f t="shared" si="5"/>
        <v>45.691100000000006</v>
      </c>
      <c r="Q62" s="82"/>
      <c r="W62" s="131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5">
        <f t="shared" si="1"/>
        <v>6.4171122994660657E-4</v>
      </c>
    </row>
    <row r="63" spans="1:31" x14ac:dyDescent="0.25">
      <c r="O63" s="82">
        <v>0.9</v>
      </c>
      <c r="P63" s="82">
        <f t="shared" si="5"/>
        <v>45.189</v>
      </c>
      <c r="Q63" s="82"/>
      <c r="W63" s="131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5">
        <f t="shared" si="1"/>
        <v>1.7141632740518276E-3</v>
      </c>
    </row>
    <row r="64" spans="1:31" x14ac:dyDescent="0.25">
      <c r="O64" s="34"/>
      <c r="W64" s="131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5">
        <f t="shared" si="1"/>
        <v>3.8718003871800466E-3</v>
      </c>
    </row>
    <row r="65" spans="15:31" x14ac:dyDescent="0.25">
      <c r="W65" s="131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5">
        <f t="shared" si="1"/>
        <v>3.6701208981002598E-3</v>
      </c>
    </row>
    <row r="66" spans="15:31" x14ac:dyDescent="0.25">
      <c r="W66" s="131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5">
        <f t="shared" si="1"/>
        <v>3.5315154224407674E-2</v>
      </c>
    </row>
    <row r="67" spans="15:31" x14ac:dyDescent="0.25">
      <c r="W67" s="131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5">
        <f>AC67/AC68-1</f>
        <v>6.0715088823926067E-3</v>
      </c>
    </row>
    <row r="68" spans="15:31" x14ac:dyDescent="0.25">
      <c r="W68" s="131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5" t="e">
        <f>AC68/AC69-1</f>
        <v>#DIV/0!</v>
      </c>
    </row>
    <row r="69" spans="15:31" x14ac:dyDescent="0.25">
      <c r="O69" s="34"/>
      <c r="W69" s="281" t="s">
        <v>120</v>
      </c>
      <c r="AB69" s="232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1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5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44.03</v>
      </c>
      <c r="T3" s="1">
        <v>42312</v>
      </c>
      <c r="U3" t="s">
        <v>148</v>
      </c>
      <c r="W3" s="131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5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1">
        <v>2060</v>
      </c>
      <c r="AO3" s="231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44.03</v>
      </c>
      <c r="R4" s="497">
        <v>-2.1999999999999999E-2</v>
      </c>
      <c r="W4" s="131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5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5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5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1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5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5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5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2"/>
      <c r="I10" s="3"/>
      <c r="J10" s="3"/>
      <c r="K10" s="3"/>
      <c r="L10" s="4"/>
      <c r="M10" s="4"/>
      <c r="O10" s="11" t="s">
        <v>210</v>
      </c>
      <c r="P10" s="34"/>
      <c r="Q10" s="2">
        <f>M30</f>
        <v>937.36999999999534</v>
      </c>
      <c r="W10" s="131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5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2"/>
      <c r="I11" s="3"/>
      <c r="J11" s="3"/>
      <c r="K11" s="3"/>
      <c r="L11" s="4"/>
      <c r="M11" s="4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5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5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5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1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5">
        <f t="shared" si="1"/>
        <v>-1.163098070314561E-2</v>
      </c>
    </row>
    <row r="15" spans="1:43" x14ac:dyDescent="0.25">
      <c r="W15" s="131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5">
        <f t="shared" si="1"/>
        <v>2.3847376788552754E-3</v>
      </c>
    </row>
    <row r="16" spans="1:43" x14ac:dyDescent="0.25">
      <c r="W16" s="131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5">
        <f t="shared" si="1"/>
        <v>3.4565275192768308E-3</v>
      </c>
    </row>
    <row r="17" spans="1:31" x14ac:dyDescent="0.25">
      <c r="B17" s="1"/>
      <c r="C17" s="4"/>
      <c r="W17" s="131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5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1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5">
        <f t="shared" si="1"/>
        <v>7.8548212351028379E-3</v>
      </c>
    </row>
    <row r="19" spans="1:31" x14ac:dyDescent="0.25">
      <c r="W19" s="131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5">
        <f t="shared" si="1"/>
        <v>1.8995929443690329E-3</v>
      </c>
    </row>
    <row r="20" spans="1:31" x14ac:dyDescent="0.25">
      <c r="W20" s="131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5">
        <f t="shared" si="1"/>
        <v>1.0696653867251715E-2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2" t="s">
        <v>65</v>
      </c>
      <c r="G21" s="226" t="s">
        <v>151</v>
      </c>
      <c r="H21" s="192" t="s">
        <v>88</v>
      </c>
      <c r="W21" s="131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5">
        <f t="shared" si="1"/>
        <v>1.6483516483516425E-3</v>
      </c>
    </row>
    <row r="22" spans="1:31" x14ac:dyDescent="0.25">
      <c r="B22" s="190"/>
      <c r="C22" s="10"/>
      <c r="D22" s="40"/>
      <c r="E22" s="40"/>
      <c r="F22" s="40"/>
      <c r="G22" s="40"/>
      <c r="H22" s="228"/>
      <c r="W22" s="131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5">
        <f t="shared" si="1"/>
        <v>1.0549694614103045E-2</v>
      </c>
    </row>
    <row r="23" spans="1:31" x14ac:dyDescent="0.25">
      <c r="B23" s="190"/>
      <c r="C23" s="10"/>
      <c r="D23" s="40"/>
      <c r="E23" s="40"/>
      <c r="F23" s="40"/>
      <c r="G23" s="10"/>
      <c r="H23" s="10"/>
      <c r="W23" s="131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5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1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5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1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5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1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5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1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5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1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5">
        <f t="shared" si="1"/>
        <v>-2.9255319148936199E-2</v>
      </c>
    </row>
    <row r="29" spans="1:31" x14ac:dyDescent="0.25">
      <c r="W29" s="131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5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1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5">
        <f t="shared" si="1"/>
        <v>5.3648068669520654E-4</v>
      </c>
    </row>
    <row r="31" spans="1:31" x14ac:dyDescent="0.25">
      <c r="A31" s="382" t="s">
        <v>1</v>
      </c>
      <c r="B31" s="382" t="s">
        <v>2</v>
      </c>
      <c r="C31" s="382" t="s">
        <v>4</v>
      </c>
      <c r="D31" s="384" t="s">
        <v>5</v>
      </c>
      <c r="E31" s="384" t="s">
        <v>94</v>
      </c>
      <c r="F31" s="384" t="s">
        <v>60</v>
      </c>
      <c r="G31" s="382" t="s">
        <v>3</v>
      </c>
      <c r="H31" s="382" t="s">
        <v>6</v>
      </c>
      <c r="I31" s="384" t="s">
        <v>7</v>
      </c>
      <c r="J31" s="384" t="s">
        <v>95</v>
      </c>
      <c r="K31" s="384" t="s">
        <v>61</v>
      </c>
      <c r="L31" s="382" t="s">
        <v>77</v>
      </c>
      <c r="M31" s="382" t="s">
        <v>38</v>
      </c>
      <c r="W31" s="131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5">
        <f t="shared" si="1"/>
        <v>-1.6877637130801704E-2</v>
      </c>
    </row>
    <row r="32" spans="1:31" x14ac:dyDescent="0.25">
      <c r="A32" s="385" t="s">
        <v>24</v>
      </c>
      <c r="B32" s="375">
        <v>42156</v>
      </c>
      <c r="C32" s="376">
        <v>5</v>
      </c>
      <c r="D32" s="377">
        <v>48.55</v>
      </c>
      <c r="E32" s="377">
        <v>0</v>
      </c>
      <c r="F32" s="377">
        <f>C32*D32</f>
        <v>242.75</v>
      </c>
      <c r="G32" s="375">
        <v>42186</v>
      </c>
      <c r="H32" s="376">
        <v>100</v>
      </c>
      <c r="I32" s="377">
        <v>44.99</v>
      </c>
      <c r="J32" s="377">
        <v>0.08</v>
      </c>
      <c r="K32" s="377">
        <f>H32*I32-J32</f>
        <v>4498.92</v>
      </c>
      <c r="L32" s="376" t="s">
        <v>80</v>
      </c>
      <c r="M32" s="376"/>
      <c r="W32" s="131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5">
        <f t="shared" si="1"/>
        <v>-1.018010963194993E-2</v>
      </c>
    </row>
    <row r="33" spans="1:31" x14ac:dyDescent="0.25">
      <c r="A33" s="386" t="s">
        <v>71</v>
      </c>
      <c r="B33" s="375">
        <v>42156</v>
      </c>
      <c r="C33" s="376">
        <v>5</v>
      </c>
      <c r="D33" s="377">
        <v>47.01</v>
      </c>
      <c r="E33" s="377">
        <v>0</v>
      </c>
      <c r="F33" s="377">
        <f t="shared" ref="F33:F44" si="2">C33*D33</f>
        <v>235.04999999999998</v>
      </c>
      <c r="G33" s="375">
        <v>42227</v>
      </c>
      <c r="H33" s="376">
        <v>100</v>
      </c>
      <c r="I33" s="377">
        <v>43</v>
      </c>
      <c r="J33" s="377">
        <v>0.08</v>
      </c>
      <c r="K33" s="377">
        <f>H33*I33-J33</f>
        <v>4299.92</v>
      </c>
      <c r="L33" s="376"/>
      <c r="M33" s="376"/>
      <c r="W33" s="131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5">
        <f t="shared" si="1"/>
        <v>2.6109660574435978E-4</v>
      </c>
    </row>
    <row r="34" spans="1:31" x14ac:dyDescent="0.25">
      <c r="A34" s="376"/>
      <c r="B34" s="375">
        <v>42156</v>
      </c>
      <c r="C34" s="376">
        <v>10</v>
      </c>
      <c r="D34" s="377">
        <v>46.5</v>
      </c>
      <c r="E34" s="377">
        <v>0</v>
      </c>
      <c r="F34" s="377">
        <f t="shared" si="2"/>
        <v>465</v>
      </c>
      <c r="G34" s="375">
        <v>42312</v>
      </c>
      <c r="H34" s="380">
        <v>40</v>
      </c>
      <c r="I34" s="377">
        <v>42.5</v>
      </c>
      <c r="J34" s="377">
        <v>0.03</v>
      </c>
      <c r="K34" s="377">
        <f>H34*I34-J34</f>
        <v>1699.97</v>
      </c>
      <c r="L34" s="376"/>
      <c r="M34" s="376"/>
      <c r="W34" s="131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5">
        <f t="shared" si="1"/>
        <v>2.3554043444122819E-3</v>
      </c>
    </row>
    <row r="35" spans="1:31" x14ac:dyDescent="0.25">
      <c r="A35" s="376"/>
      <c r="B35" s="375">
        <v>42156</v>
      </c>
      <c r="C35" s="376">
        <v>50</v>
      </c>
      <c r="D35" s="377">
        <v>45.95</v>
      </c>
      <c r="E35" s="377">
        <v>0</v>
      </c>
      <c r="F35" s="377">
        <f t="shared" si="2"/>
        <v>2297.5</v>
      </c>
      <c r="G35" s="375">
        <v>42318</v>
      </c>
      <c r="H35" s="380">
        <v>14</v>
      </c>
      <c r="I35" s="377">
        <v>43.5</v>
      </c>
      <c r="J35" s="377">
        <v>0.01</v>
      </c>
      <c r="K35" s="377">
        <f t="shared" ref="K35:K42" si="3">H35*I35-J35</f>
        <v>608.99</v>
      </c>
      <c r="L35" s="376"/>
      <c r="M35" s="376"/>
      <c r="W35" s="131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5">
        <f t="shared" si="1"/>
        <v>4.2049934296979341E-3</v>
      </c>
    </row>
    <row r="36" spans="1:31" x14ac:dyDescent="0.25">
      <c r="A36" s="376"/>
      <c r="B36" s="375">
        <v>42156</v>
      </c>
      <c r="C36" s="376">
        <v>30</v>
      </c>
      <c r="D36" s="377">
        <v>45.95</v>
      </c>
      <c r="E36" s="377">
        <v>0</v>
      </c>
      <c r="F36" s="377">
        <f t="shared" si="2"/>
        <v>1378.5</v>
      </c>
      <c r="G36" s="375">
        <v>42318</v>
      </c>
      <c r="H36" s="380">
        <v>26</v>
      </c>
      <c r="I36" s="377">
        <v>43.78</v>
      </c>
      <c r="J36" s="377">
        <v>0.02</v>
      </c>
      <c r="K36" s="377">
        <f t="shared" si="3"/>
        <v>1138.26</v>
      </c>
      <c r="L36" s="376"/>
      <c r="M36" s="376"/>
      <c r="W36" s="131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5">
        <f t="shared" si="1"/>
        <v>-1.312335958005395E-3</v>
      </c>
    </row>
    <row r="37" spans="1:31" x14ac:dyDescent="0.25">
      <c r="A37" s="376"/>
      <c r="B37" s="375">
        <v>42186</v>
      </c>
      <c r="C37" s="376">
        <v>100</v>
      </c>
      <c r="D37" s="377">
        <v>44.9</v>
      </c>
      <c r="E37" s="377">
        <v>0</v>
      </c>
      <c r="F37" s="377">
        <f t="shared" si="2"/>
        <v>4490</v>
      </c>
      <c r="G37" s="375">
        <v>42320</v>
      </c>
      <c r="H37" s="380">
        <v>10</v>
      </c>
      <c r="I37" s="377">
        <v>43.9</v>
      </c>
      <c r="J37" s="377">
        <v>0.01</v>
      </c>
      <c r="K37" s="377">
        <f t="shared" si="3"/>
        <v>438.99</v>
      </c>
      <c r="L37" s="376"/>
      <c r="M37" s="376"/>
      <c r="W37" s="131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5">
        <f t="shared" si="1"/>
        <v>1.3297872340425565E-2</v>
      </c>
    </row>
    <row r="38" spans="1:31" x14ac:dyDescent="0.25">
      <c r="A38" s="376"/>
      <c r="B38" s="375">
        <v>42206</v>
      </c>
      <c r="C38" s="376">
        <v>20</v>
      </c>
      <c r="D38" s="377">
        <v>41.2</v>
      </c>
      <c r="E38" s="377">
        <v>0</v>
      </c>
      <c r="F38" s="377">
        <f t="shared" si="2"/>
        <v>824</v>
      </c>
      <c r="G38" s="375">
        <v>42333</v>
      </c>
      <c r="H38" s="380">
        <v>50</v>
      </c>
      <c r="I38" s="377">
        <v>41.67</v>
      </c>
      <c r="J38" s="377">
        <v>0.04</v>
      </c>
      <c r="K38" s="377">
        <f t="shared" si="3"/>
        <v>2083.46</v>
      </c>
      <c r="L38" s="376"/>
      <c r="M38" s="376"/>
      <c r="W38" s="131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5">
        <f t="shared" si="1"/>
        <v>-2.0323084940072955E-2</v>
      </c>
    </row>
    <row r="39" spans="1:31" x14ac:dyDescent="0.25">
      <c r="A39" s="376"/>
      <c r="B39" s="375">
        <v>42207</v>
      </c>
      <c r="C39" s="376">
        <v>20</v>
      </c>
      <c r="D39" s="377">
        <v>40.68</v>
      </c>
      <c r="E39" s="377">
        <v>0</v>
      </c>
      <c r="F39" s="377">
        <f t="shared" si="2"/>
        <v>813.6</v>
      </c>
      <c r="G39" s="375">
        <v>42335</v>
      </c>
      <c r="H39" s="380">
        <v>50</v>
      </c>
      <c r="I39" s="377">
        <v>41.85</v>
      </c>
      <c r="J39" s="377">
        <v>0.04</v>
      </c>
      <c r="K39" s="377">
        <f t="shared" si="3"/>
        <v>2092.46</v>
      </c>
      <c r="L39" s="376"/>
      <c r="M39" s="376"/>
      <c r="W39" s="131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5">
        <f t="shared" si="1"/>
        <v>2.8743140841389625E-3</v>
      </c>
    </row>
    <row r="40" spans="1:31" x14ac:dyDescent="0.25">
      <c r="A40" s="376"/>
      <c r="B40" s="375">
        <v>42292</v>
      </c>
      <c r="C40" s="376">
        <v>40</v>
      </c>
      <c r="D40" s="377">
        <v>41.65</v>
      </c>
      <c r="E40" s="377">
        <v>0</v>
      </c>
      <c r="F40" s="377">
        <f t="shared" si="2"/>
        <v>1666</v>
      </c>
      <c r="G40" s="375">
        <v>42335</v>
      </c>
      <c r="H40" s="380">
        <v>50</v>
      </c>
      <c r="I40" s="377">
        <v>42.4</v>
      </c>
      <c r="J40" s="377">
        <v>0.04</v>
      </c>
      <c r="K40" s="377">
        <f t="shared" si="3"/>
        <v>2119.96</v>
      </c>
      <c r="L40" s="376"/>
      <c r="M40" s="376"/>
      <c r="W40" s="131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5">
        <f t="shared" si="1"/>
        <v>1.0562450488513564E-2</v>
      </c>
    </row>
    <row r="41" spans="1:31" x14ac:dyDescent="0.25">
      <c r="A41" s="376"/>
      <c r="B41" s="375">
        <v>42298</v>
      </c>
      <c r="C41" s="376">
        <v>80</v>
      </c>
      <c r="D41" s="377">
        <v>40.450000000000003</v>
      </c>
      <c r="E41" s="377">
        <v>0</v>
      </c>
      <c r="F41" s="377">
        <f t="shared" si="2"/>
        <v>3236</v>
      </c>
      <c r="G41" s="375">
        <v>42398</v>
      </c>
      <c r="H41" s="380">
        <v>50</v>
      </c>
      <c r="I41" s="377">
        <v>39.65</v>
      </c>
      <c r="J41" s="377">
        <v>0.04</v>
      </c>
      <c r="K41" s="377">
        <f t="shared" si="3"/>
        <v>1982.46</v>
      </c>
      <c r="L41" s="376"/>
      <c r="M41" s="376"/>
      <c r="W41" s="131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5">
        <f t="shared" si="1"/>
        <v>2.8517110266159662E-2</v>
      </c>
    </row>
    <row r="42" spans="1:31" ht="20.25" thickBot="1" x14ac:dyDescent="0.35">
      <c r="A42" s="376"/>
      <c r="B42" s="375">
        <v>42298</v>
      </c>
      <c r="C42" s="376">
        <v>80</v>
      </c>
      <c r="D42" s="377">
        <v>39.9</v>
      </c>
      <c r="E42" s="377">
        <v>0</v>
      </c>
      <c r="F42" s="377">
        <f t="shared" si="2"/>
        <v>3192</v>
      </c>
      <c r="G42" s="375">
        <v>42408</v>
      </c>
      <c r="H42" s="380">
        <v>50</v>
      </c>
      <c r="I42" s="377">
        <v>51.5</v>
      </c>
      <c r="J42" s="377">
        <v>0.05</v>
      </c>
      <c r="K42" s="377">
        <f t="shared" si="3"/>
        <v>2574.9499999999998</v>
      </c>
      <c r="L42" s="376"/>
      <c r="M42" s="376"/>
      <c r="O42" s="157" t="s">
        <v>78</v>
      </c>
      <c r="P42" s="157"/>
      <c r="T42" s="90" t="s">
        <v>112</v>
      </c>
      <c r="W42" s="131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5">
        <f t="shared" si="1"/>
        <v>-0.1080426356589147</v>
      </c>
    </row>
    <row r="43" spans="1:31" ht="15.75" thickTop="1" x14ac:dyDescent="0.25">
      <c r="A43" s="376"/>
      <c r="B43" s="375">
        <v>42333</v>
      </c>
      <c r="C43" s="376">
        <v>50</v>
      </c>
      <c r="D43" s="377">
        <v>41.2</v>
      </c>
      <c r="E43" s="377">
        <v>0</v>
      </c>
      <c r="F43" s="377">
        <f t="shared" si="2"/>
        <v>2060</v>
      </c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48.433000000000007</v>
      </c>
      <c r="T43" s="126" t="s">
        <v>97</v>
      </c>
      <c r="U43" s="97">
        <v>36.82</v>
      </c>
      <c r="W43" s="131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5">
        <f t="shared" si="1"/>
        <v>6.3383715260847406E-3</v>
      </c>
    </row>
    <row r="44" spans="1:31" x14ac:dyDescent="0.25">
      <c r="A44" s="376"/>
      <c r="B44" s="375">
        <v>42377</v>
      </c>
      <c r="C44" s="376">
        <v>50</v>
      </c>
      <c r="D44" s="377">
        <v>37.85</v>
      </c>
      <c r="E44" s="377">
        <v>0</v>
      </c>
      <c r="F44" s="377">
        <f t="shared" si="2"/>
        <v>1892.5</v>
      </c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4">O44*$Q$4</f>
        <v>47.992700000000006</v>
      </c>
      <c r="T44" s="92" t="s">
        <v>98</v>
      </c>
      <c r="U44" s="87">
        <v>36.89</v>
      </c>
      <c r="W44" s="131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5">
        <f t="shared" si="1"/>
        <v>3.1792614331132008E-3</v>
      </c>
    </row>
    <row r="45" spans="1:31" x14ac:dyDescent="0.25">
      <c r="A45" s="376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6"/>
      <c r="M45" s="376"/>
      <c r="O45" s="82">
        <v>1.08</v>
      </c>
      <c r="P45" s="82">
        <f t="shared" si="4"/>
        <v>47.552400000000006</v>
      </c>
      <c r="R45" s="34"/>
      <c r="T45" s="92" t="s">
        <v>99</v>
      </c>
      <c r="U45" s="87" t="s">
        <v>128</v>
      </c>
      <c r="W45" s="131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5">
        <f t="shared" si="1"/>
        <v>-1.0885341074020394E-2</v>
      </c>
    </row>
    <row r="46" spans="1:31" x14ac:dyDescent="0.25">
      <c r="A46" s="376"/>
      <c r="B46" s="375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4"/>
        <v>47.112100000000005</v>
      </c>
      <c r="Q46" s="34"/>
      <c r="R46" s="34"/>
      <c r="T46" s="92" t="s">
        <v>100</v>
      </c>
      <c r="U46" s="87" t="s">
        <v>128</v>
      </c>
      <c r="W46" s="131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5">
        <f t="shared" si="1"/>
        <v>-3.4337771548703544E-2</v>
      </c>
    </row>
    <row r="47" spans="1:31" x14ac:dyDescent="0.25">
      <c r="A47" s="376"/>
      <c r="B47" s="375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4"/>
        <v>46.671800000000005</v>
      </c>
      <c r="Q47" s="34"/>
      <c r="R47" s="34"/>
      <c r="T47" s="92" t="s">
        <v>101</v>
      </c>
      <c r="U47" s="87">
        <v>41.67</v>
      </c>
      <c r="W47" s="131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5">
        <f t="shared" si="1"/>
        <v>2.4407753050969205E-2</v>
      </c>
    </row>
    <row r="48" spans="1:31" x14ac:dyDescent="0.25">
      <c r="A48" s="376"/>
      <c r="B48" s="375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4"/>
        <v>46.231500000000004</v>
      </c>
      <c r="Q48" s="34"/>
      <c r="R48" s="34"/>
      <c r="T48" s="92" t="s">
        <v>102</v>
      </c>
      <c r="U48" s="87">
        <v>-0.45367400000000002</v>
      </c>
      <c r="W48" s="131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5">
        <f t="shared" si="1"/>
        <v>6.2605345533348622E-3</v>
      </c>
    </row>
    <row r="49" spans="1:31" x14ac:dyDescent="0.25">
      <c r="A49" s="376"/>
      <c r="B49" s="375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4"/>
        <v>45.791200000000003</v>
      </c>
      <c r="Q49" s="34"/>
      <c r="R49" s="34"/>
      <c r="T49" s="92" t="s">
        <v>121</v>
      </c>
      <c r="U49" s="87" t="s">
        <v>501</v>
      </c>
      <c r="W49" s="131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5">
        <f t="shared" si="1"/>
        <v>-1.2601046124583903E-2</v>
      </c>
    </row>
    <row r="50" spans="1:31" x14ac:dyDescent="0.25">
      <c r="A50" s="376"/>
      <c r="B50" s="375"/>
      <c r="C50" s="376"/>
      <c r="D50" s="377"/>
      <c r="E50" s="377"/>
      <c r="F50" s="377"/>
      <c r="G50" s="376"/>
      <c r="H50" s="376"/>
      <c r="I50" s="377"/>
      <c r="J50" s="377"/>
      <c r="K50" s="377"/>
      <c r="L50" s="376"/>
      <c r="M50" s="376"/>
      <c r="O50" s="82">
        <v>1.03</v>
      </c>
      <c r="P50" s="82">
        <f t="shared" si="4"/>
        <v>45.350900000000003</v>
      </c>
      <c r="Q50" s="82"/>
      <c r="R50" s="34"/>
      <c r="T50" s="92"/>
      <c r="U50" s="87"/>
      <c r="W50" s="131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5">
        <f t="shared" si="1"/>
        <v>-1.7289719626168099E-2</v>
      </c>
    </row>
    <row r="51" spans="1:31" x14ac:dyDescent="0.25">
      <c r="A51" s="376"/>
      <c r="B51" s="375"/>
      <c r="C51" s="376"/>
      <c r="D51" s="377"/>
      <c r="E51" s="377"/>
      <c r="F51" s="377"/>
      <c r="G51" s="376"/>
      <c r="H51" s="376"/>
      <c r="I51" s="377"/>
      <c r="J51" s="377"/>
      <c r="K51" s="377"/>
      <c r="L51" s="376"/>
      <c r="M51" s="376"/>
      <c r="O51" s="82">
        <v>1.02</v>
      </c>
      <c r="P51" s="82">
        <f t="shared" si="4"/>
        <v>44.910600000000002</v>
      </c>
      <c r="Q51" s="82"/>
      <c r="R51" s="34"/>
      <c r="T51" s="92" t="s">
        <v>104</v>
      </c>
      <c r="U51" s="87" t="s">
        <v>696</v>
      </c>
      <c r="W51" s="131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5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0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44.470300000000002</v>
      </c>
      <c r="Q52" s="82"/>
      <c r="R52" s="34"/>
      <c r="T52" s="92" t="s">
        <v>105</v>
      </c>
      <c r="U52" s="87" t="s">
        <v>533</v>
      </c>
      <c r="W52" s="131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5">
        <f t="shared" si="1"/>
        <v>1.9736842105263053E-2</v>
      </c>
    </row>
    <row r="53" spans="1:31" x14ac:dyDescent="0.25">
      <c r="A53" s="376"/>
      <c r="B53" s="376"/>
      <c r="C53" s="376"/>
      <c r="D53" s="377"/>
      <c r="E53" s="377"/>
      <c r="F53" s="377"/>
      <c r="G53" s="377"/>
      <c r="H53" s="376"/>
      <c r="I53" s="377"/>
      <c r="J53" s="377"/>
      <c r="K53" s="377"/>
      <c r="L53" s="376"/>
      <c r="M53" s="376"/>
      <c r="O53" s="82">
        <v>1</v>
      </c>
      <c r="P53" s="82">
        <f t="shared" si="4"/>
        <v>44.03</v>
      </c>
      <c r="Q53" s="82"/>
      <c r="R53" s="34"/>
      <c r="T53" s="92" t="s">
        <v>106</v>
      </c>
      <c r="U53" s="89">
        <v>1668821</v>
      </c>
      <c r="W53" s="131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5">
        <f t="shared" si="1"/>
        <v>2.3551577955722713E-3</v>
      </c>
    </row>
    <row r="54" spans="1:31" x14ac:dyDescent="0.25">
      <c r="O54" s="82">
        <v>0.99</v>
      </c>
      <c r="P54" s="82">
        <f t="shared" si="4"/>
        <v>43.589700000000001</v>
      </c>
      <c r="Q54" s="82"/>
      <c r="R54" s="34"/>
      <c r="T54" s="92" t="s">
        <v>109</v>
      </c>
      <c r="U54" s="89">
        <v>2832800</v>
      </c>
      <c r="W54" s="131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5">
        <f t="shared" si="1"/>
        <v>1.023078753271478E-2</v>
      </c>
    </row>
    <row r="55" spans="1:31" x14ac:dyDescent="0.25">
      <c r="O55" s="82">
        <v>0.98</v>
      </c>
      <c r="P55" s="82">
        <f t="shared" si="4"/>
        <v>43.1494</v>
      </c>
      <c r="Q55" s="82"/>
      <c r="R55" s="34"/>
      <c r="T55" s="92" t="s">
        <v>107</v>
      </c>
      <c r="U55" s="87" t="s">
        <v>697</v>
      </c>
      <c r="W55" s="131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5">
        <f t="shared" si="1"/>
        <v>-2.7758501040943684E-2</v>
      </c>
    </row>
    <row r="56" spans="1:31" x14ac:dyDescent="0.25">
      <c r="O56" s="82">
        <v>0.97</v>
      </c>
      <c r="P56" s="82">
        <f t="shared" si="4"/>
        <v>42.709099999999999</v>
      </c>
      <c r="Q56" s="82"/>
      <c r="R56" s="34"/>
      <c r="T56" s="92" t="s">
        <v>110</v>
      </c>
      <c r="U56" s="87">
        <v>8.42</v>
      </c>
      <c r="W56" s="131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5">
        <f t="shared" si="1"/>
        <v>-7.5757575757576801E-3</v>
      </c>
    </row>
    <row r="57" spans="1:31" x14ac:dyDescent="0.25">
      <c r="O57" s="82">
        <v>0.96</v>
      </c>
      <c r="P57" s="82">
        <f t="shared" si="4"/>
        <v>42.268799999999999</v>
      </c>
      <c r="Q57" s="82"/>
      <c r="R57" s="34"/>
      <c r="T57" s="92" t="s">
        <v>111</v>
      </c>
      <c r="U57" s="87">
        <v>4.38</v>
      </c>
      <c r="W57" s="131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5">
        <f t="shared" si="1"/>
        <v>2.7600849256900206E-2</v>
      </c>
    </row>
    <row r="58" spans="1:31" x14ac:dyDescent="0.25">
      <c r="B58" s="188" t="s">
        <v>113</v>
      </c>
      <c r="C58" s="188" t="s">
        <v>146</v>
      </c>
      <c r="D58" s="189" t="s">
        <v>145</v>
      </c>
      <c r="E58" s="191" t="s">
        <v>147</v>
      </c>
      <c r="F58" s="192" t="s">
        <v>65</v>
      </c>
      <c r="G58" s="226" t="s">
        <v>151</v>
      </c>
      <c r="H58" s="192" t="s">
        <v>88</v>
      </c>
      <c r="O58" s="82">
        <v>0.95</v>
      </c>
      <c r="P58" s="82">
        <f t="shared" si="4"/>
        <v>41.828499999999998</v>
      </c>
      <c r="Q58" s="82"/>
      <c r="R58" s="34"/>
      <c r="T58" s="92" t="s">
        <v>108</v>
      </c>
      <c r="U58" s="87" t="s">
        <v>122</v>
      </c>
      <c r="W58" s="131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5">
        <f t="shared" si="1"/>
        <v>-6.096131301289498E-3</v>
      </c>
    </row>
    <row r="59" spans="1:31" x14ac:dyDescent="0.25">
      <c r="A59" t="s">
        <v>356</v>
      </c>
      <c r="B59" s="190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8">
        <f>(E59-D59)/D59</f>
        <v>5.2000000000000011E-2</v>
      </c>
      <c r="O59" s="82">
        <v>0.94</v>
      </c>
      <c r="P59" s="82">
        <f t="shared" si="4"/>
        <v>41.388199999999998</v>
      </c>
      <c r="Q59" s="82"/>
      <c r="W59" s="131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5">
        <f t="shared" si="1"/>
        <v>-5.1317937951947945E-3</v>
      </c>
    </row>
    <row r="60" spans="1:31" x14ac:dyDescent="0.25">
      <c r="B60" s="190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40.947900000000004</v>
      </c>
      <c r="Q60" s="82"/>
      <c r="W60" s="131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5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40.507600000000004</v>
      </c>
      <c r="Q61" s="82"/>
      <c r="W61" s="131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5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40.067300000000003</v>
      </c>
      <c r="Q62" s="82"/>
      <c r="W62" s="131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5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39.627000000000002</v>
      </c>
      <c r="Q63" s="82"/>
      <c r="W63" s="131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5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1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5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1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5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1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5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1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5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5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5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94.38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5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94.38</v>
      </c>
      <c r="R4" s="497">
        <v>-4.0000000000000002E-4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5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5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5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5">
        <f t="shared" si="1"/>
        <v>-6.10575161802418E-3</v>
      </c>
    </row>
    <row r="8" spans="1:32" x14ac:dyDescent="0.25">
      <c r="O8" s="11" t="s">
        <v>181</v>
      </c>
      <c r="P8" s="34"/>
      <c r="Q8" s="2">
        <f>K18+M18-F18+Q2*Q4</f>
        <v>0</v>
      </c>
      <c r="R8" s="162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5">
        <f t="shared" si="1"/>
        <v>9.8655814527068841E-3</v>
      </c>
    </row>
    <row r="9" spans="1:32" x14ac:dyDescent="0.25">
      <c r="O9" s="11" t="s">
        <v>211</v>
      </c>
      <c r="Q9" s="135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5">
        <f t="shared" si="1"/>
        <v>1.2347203358440417E-3</v>
      </c>
    </row>
    <row r="10" spans="1:32" x14ac:dyDescent="0.25">
      <c r="O10" s="11" t="s">
        <v>210</v>
      </c>
      <c r="P10" s="34"/>
      <c r="Q10" s="2">
        <f>M40</f>
        <v>523.61999999999898</v>
      </c>
      <c r="T10" s="119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5">
        <f t="shared" si="1"/>
        <v>-3.3226679793257885E-3</v>
      </c>
    </row>
    <row r="11" spans="1:32" x14ac:dyDescent="0.25">
      <c r="O11" s="11" t="s">
        <v>176</v>
      </c>
      <c r="P11" s="34"/>
      <c r="Q11" s="135">
        <f>VALUE(TRIM(CLEAN(MID(U55, FIND("(", U55)+1, 5))))</f>
        <v>1.67E-2</v>
      </c>
      <c r="T11" s="119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5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5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5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5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5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5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2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5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5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5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5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5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5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5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5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5">
        <f t="shared" si="1"/>
        <v>1.345565749235389E-3</v>
      </c>
    </row>
    <row r="26" spans="1:32" x14ac:dyDescent="0.25">
      <c r="B26" s="188" t="s">
        <v>113</v>
      </c>
      <c r="C26" s="188" t="s">
        <v>146</v>
      </c>
      <c r="D26" s="189" t="s">
        <v>145</v>
      </c>
      <c r="E26" s="191" t="s">
        <v>147</v>
      </c>
      <c r="F26" s="192" t="s">
        <v>65</v>
      </c>
      <c r="G26" s="226" t="s">
        <v>151</v>
      </c>
      <c r="H26" s="226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5">
        <f t="shared" si="1"/>
        <v>-1.1367759100253894E-2</v>
      </c>
    </row>
    <row r="27" spans="1:32" x14ac:dyDescent="0.25">
      <c r="B27" s="19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8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5">
        <f t="shared" si="1"/>
        <v>6.4508276533592479E-3</v>
      </c>
    </row>
    <row r="28" spans="1:32" x14ac:dyDescent="0.25">
      <c r="A28" s="31"/>
      <c r="B28" s="19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8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5">
        <f t="shared" si="1"/>
        <v>1.0081140890090934E-2</v>
      </c>
    </row>
    <row r="29" spans="1:32" x14ac:dyDescent="0.25">
      <c r="A29" s="31"/>
      <c r="B29" s="19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8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5">
        <f t="shared" si="1"/>
        <v>5.3145470275615114E-3</v>
      </c>
    </row>
    <row r="30" spans="1:32" x14ac:dyDescent="0.25">
      <c r="A30" s="31"/>
      <c r="B30" s="19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8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5" t="e">
        <f t="shared" si="1"/>
        <v>#DIV/0!</v>
      </c>
    </row>
    <row r="31" spans="1:32" x14ac:dyDescent="0.25">
      <c r="B31" s="19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8"/>
      <c r="I31" s="193"/>
      <c r="X31" s="109">
        <v>42790</v>
      </c>
      <c r="Y31" s="9" t="s">
        <v>476</v>
      </c>
      <c r="Z31" s="9"/>
      <c r="AA31" s="9"/>
      <c r="AB31" s="9"/>
      <c r="AC31" s="103"/>
      <c r="AD31" s="9"/>
      <c r="AE31" s="2">
        <f t="shared" si="0"/>
        <v>0</v>
      </c>
      <c r="AF31" s="135">
        <f t="shared" si="1"/>
        <v>-1</v>
      </c>
    </row>
    <row r="32" spans="1:32" x14ac:dyDescent="0.25">
      <c r="B32" s="19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8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5">
        <f t="shared" si="1"/>
        <v>-3.740182022190508E-4</v>
      </c>
    </row>
    <row r="33" spans="1:32" x14ac:dyDescent="0.25">
      <c r="B33" s="19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8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5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8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5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8"/>
      <c r="O35" s="716" t="s">
        <v>78</v>
      </c>
      <c r="P35" s="716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5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8"/>
      <c r="O36" s="82">
        <v>1.1000000000000001</v>
      </c>
      <c r="P36" s="82">
        <f>O36*$Q$4</f>
        <v>103.818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5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8"/>
      <c r="O37" s="82">
        <v>1.0900000000000001</v>
      </c>
      <c r="P37" s="82">
        <f t="shared" ref="P37:P56" si="3">O37*$Q$4</f>
        <v>102.8742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5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8"/>
      <c r="O38" s="82">
        <v>1.08</v>
      </c>
      <c r="P38" s="82">
        <f t="shared" si="3"/>
        <v>101.93040000000001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5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100.9866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5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2">
        <v>1.06</v>
      </c>
      <c r="P40" s="82">
        <f t="shared" si="3"/>
        <v>100.0428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5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99.099000000000004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5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98.155199999999994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5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97.211399999999998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5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96.267600000000002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5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95.323799999999991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5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94.38</v>
      </c>
      <c r="Q46" s="2"/>
      <c r="T46" s="112" t="s">
        <v>103</v>
      </c>
      <c r="U46" s="105" t="s">
        <v>414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5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93.436199999999999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5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92.492399999999989</v>
      </c>
      <c r="Q48" s="2"/>
      <c r="T48" s="112" t="s">
        <v>104</v>
      </c>
      <c r="U48" s="105" t="s">
        <v>698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5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91.548599999999993</v>
      </c>
      <c r="T49" s="112" t="s">
        <v>105</v>
      </c>
      <c r="U49" s="105" t="s">
        <v>546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5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90.604799999999997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5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89.660999999999987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5">
        <f t="shared" si="1"/>
        <v>5.5970149253730117E-3</v>
      </c>
    </row>
    <row r="52" spans="1:32" x14ac:dyDescent="0.25">
      <c r="O52" s="82">
        <v>0.94</v>
      </c>
      <c r="P52" s="82">
        <f t="shared" si="3"/>
        <v>88.717199999999991</v>
      </c>
      <c r="T52" s="112" t="s">
        <v>107</v>
      </c>
      <c r="U52" s="105" t="s">
        <v>699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5">
        <f t="shared" si="1"/>
        <v>1.2275731822474212E-2</v>
      </c>
    </row>
    <row r="53" spans="1:32" x14ac:dyDescent="0.25">
      <c r="O53" s="82">
        <v>0.93</v>
      </c>
      <c r="P53" s="82">
        <f t="shared" si="3"/>
        <v>87.773399999999995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5">
        <f t="shared" si="1"/>
        <v>4.3354559002843907E-3</v>
      </c>
    </row>
    <row r="54" spans="1:32" x14ac:dyDescent="0.25">
      <c r="O54" s="82">
        <v>0.92</v>
      </c>
      <c r="P54" s="82">
        <f t="shared" si="3"/>
        <v>86.829599999999999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5">
        <f t="shared" si="1"/>
        <v>-5.2560646900269292E-3</v>
      </c>
    </row>
    <row r="55" spans="1:32" x14ac:dyDescent="0.25">
      <c r="O55" s="82">
        <v>0.91</v>
      </c>
      <c r="P55" s="82">
        <f t="shared" si="3"/>
        <v>85.885800000000003</v>
      </c>
      <c r="T55" s="112" t="s">
        <v>108</v>
      </c>
      <c r="U55" s="105" t="s">
        <v>593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5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84.941999999999993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5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5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5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5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5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5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5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5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5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5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5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5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5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5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3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2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4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5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3"/>
      <c r="O3" s="11" t="s">
        <v>58</v>
      </c>
      <c r="Q3" s="2">
        <f>IF(Q2=0, Q4, (F18-K18-M18)/Q2)</f>
        <v>120.04</v>
      </c>
      <c r="W3" s="154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5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2"/>
      <c r="I4" s="4"/>
      <c r="J4" s="4"/>
      <c r="K4" s="4"/>
      <c r="L4" s="4"/>
      <c r="M4" s="3"/>
      <c r="O4" s="11" t="s">
        <v>66</v>
      </c>
      <c r="Q4" s="55">
        <v>120.04</v>
      </c>
      <c r="R4" s="497">
        <v>4.1000000000000003E-3</v>
      </c>
      <c r="W4" s="154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5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2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4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5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2"/>
      <c r="I6" s="4"/>
      <c r="J6" s="4"/>
      <c r="K6" s="4"/>
      <c r="L6" s="4"/>
      <c r="M6" s="4"/>
      <c r="O6" s="11" t="s">
        <v>64</v>
      </c>
      <c r="Q6" s="2">
        <f>Q3*Q2</f>
        <v>0</v>
      </c>
      <c r="W6" s="154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5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4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5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2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54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5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54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5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M33</f>
        <v>-168.6200000000008</v>
      </c>
      <c r="W10" s="154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5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2.18E-2</v>
      </c>
      <c r="W11" s="154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5">
        <f t="shared" si="1"/>
        <v>-1.0915272434463663E-2</v>
      </c>
    </row>
    <row r="12" spans="1:31" x14ac:dyDescent="0.25">
      <c r="W12" s="154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5">
        <f t="shared" si="1"/>
        <v>2.421524663677177E-3</v>
      </c>
    </row>
    <row r="13" spans="1:31" x14ac:dyDescent="0.25">
      <c r="W13" s="154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5">
        <f t="shared" si="1"/>
        <v>-2.9083942877046409E-2</v>
      </c>
    </row>
    <row r="14" spans="1:31" x14ac:dyDescent="0.25">
      <c r="W14" s="154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5">
        <f t="shared" si="1"/>
        <v>1.1332926510330132E-3</v>
      </c>
    </row>
    <row r="15" spans="1:31" x14ac:dyDescent="0.25">
      <c r="W15" s="154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5">
        <f t="shared" si="1"/>
        <v>-5.5483311660164958E-3</v>
      </c>
    </row>
    <row r="16" spans="1:31" x14ac:dyDescent="0.25">
      <c r="W16" s="154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5">
        <f t="shared" si="1"/>
        <v>-1.838141434771523E-2</v>
      </c>
    </row>
    <row r="17" spans="1:31" x14ac:dyDescent="0.25">
      <c r="W17" s="154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5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4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5">
        <f t="shared" si="1"/>
        <v>-9.8719986614239641E-3</v>
      </c>
    </row>
    <row r="19" spans="1:31" x14ac:dyDescent="0.25">
      <c r="W19" s="154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5">
        <f t="shared" si="1"/>
        <v>-1.0864114992478191E-3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1" t="s">
        <v>65</v>
      </c>
      <c r="G20" s="226" t="s">
        <v>151</v>
      </c>
      <c r="H20" s="226" t="s">
        <v>88</v>
      </c>
      <c r="I20" s="226" t="s">
        <v>154</v>
      </c>
      <c r="W20" s="154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5">
        <f t="shared" si="1"/>
        <v>2.177554438860918E-3</v>
      </c>
    </row>
    <row r="21" spans="1:31" x14ac:dyDescent="0.25">
      <c r="B21" s="190">
        <v>42304</v>
      </c>
      <c r="C21" s="10">
        <v>75</v>
      </c>
      <c r="D21" s="199">
        <v>82.82</v>
      </c>
      <c r="E21" s="40">
        <v>77.44</v>
      </c>
      <c r="F21" s="40">
        <v>-403.4</v>
      </c>
      <c r="G21" s="40"/>
      <c r="H21" s="228"/>
      <c r="I21" s="40"/>
      <c r="W21" s="154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5">
        <f t="shared" si="1"/>
        <v>-3.9209143238507771E-3</v>
      </c>
    </row>
    <row r="22" spans="1:31" x14ac:dyDescent="0.25">
      <c r="B22" s="190">
        <v>42305</v>
      </c>
      <c r="C22" s="10">
        <v>0</v>
      </c>
      <c r="D22" s="199" t="s">
        <v>128</v>
      </c>
      <c r="E22" s="40">
        <v>81.599999999999994</v>
      </c>
      <c r="F22" s="40">
        <v>-169.71000000000095</v>
      </c>
      <c r="G22" s="40"/>
      <c r="H22" s="228"/>
      <c r="I22" s="40"/>
      <c r="W22" s="154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5">
        <f t="shared" si="1"/>
        <v>-1.7459016393442606E-2</v>
      </c>
    </row>
    <row r="23" spans="1:31" x14ac:dyDescent="0.25">
      <c r="B23" s="190">
        <v>42331</v>
      </c>
      <c r="C23" s="10">
        <v>0</v>
      </c>
      <c r="D23" s="199" t="s">
        <v>128</v>
      </c>
      <c r="E23" s="40">
        <v>95.56</v>
      </c>
      <c r="F23" s="40">
        <v>-168.62</v>
      </c>
      <c r="G23" s="40"/>
      <c r="H23" s="228"/>
      <c r="I23" s="40" t="s">
        <v>186</v>
      </c>
      <c r="W23" s="154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5">
        <f t="shared" si="1"/>
        <v>-7.5652810542585769E-3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54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5">
        <f t="shared" si="1"/>
        <v>4.3300653594771088E-3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54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5">
        <f t="shared" si="1"/>
        <v>5.1736881005175483E-3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54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5">
        <f t="shared" si="1"/>
        <v>-1.2809079854073757E-2</v>
      </c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54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5">
        <f t="shared" si="1"/>
        <v>1.916880112368835E-2</v>
      </c>
    </row>
    <row r="28" spans="1:31" x14ac:dyDescent="0.25">
      <c r="W28" s="154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5">
        <f t="shared" si="1"/>
        <v>-7.43064729194165E-4</v>
      </c>
    </row>
    <row r="29" spans="1:31" x14ac:dyDescent="0.25">
      <c r="W29" s="154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5">
        <f t="shared" si="1"/>
        <v>8.6608927381746081E-3</v>
      </c>
    </row>
    <row r="30" spans="1:31" x14ac:dyDescent="0.25">
      <c r="W30" s="154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5">
        <f t="shared" si="1"/>
        <v>4.1656252603505806E-4</v>
      </c>
    </row>
    <row r="31" spans="1:31" x14ac:dyDescent="0.25">
      <c r="W31" s="154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5">
        <f t="shared" si="1"/>
        <v>-1.8721386527141837E-2</v>
      </c>
    </row>
    <row r="32" spans="1:31" x14ac:dyDescent="0.25">
      <c r="W32" s="154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5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4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5">
        <f t="shared" si="1"/>
        <v>6.1084867242222618E-3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54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5">
        <f t="shared" si="1"/>
        <v>-1.2202066216546736E-3</v>
      </c>
    </row>
    <row r="35" spans="1:31" x14ac:dyDescent="0.25">
      <c r="A35" s="385" t="s">
        <v>47</v>
      </c>
      <c r="B35" s="375">
        <v>42185</v>
      </c>
      <c r="C35" s="376">
        <v>10</v>
      </c>
      <c r="D35" s="377">
        <v>88.85</v>
      </c>
      <c r="E35" s="377">
        <v>0</v>
      </c>
      <c r="F35" s="377">
        <f t="shared" ref="F35:F40" si="2">C35*D35</f>
        <v>888.5</v>
      </c>
      <c r="G35" s="375">
        <v>42310</v>
      </c>
      <c r="H35" s="380">
        <v>75</v>
      </c>
      <c r="I35" s="377">
        <v>80.650000000000006</v>
      </c>
      <c r="J35" s="376">
        <v>7.06</v>
      </c>
      <c r="K35" s="376">
        <f>H35*I35-J35</f>
        <v>6041.69</v>
      </c>
      <c r="L35" s="375">
        <v>42257</v>
      </c>
      <c r="M35" s="377">
        <v>35.4</v>
      </c>
      <c r="W35" s="154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5">
        <f t="shared" si="1"/>
        <v>1.7928449189146267E-3</v>
      </c>
    </row>
    <row r="36" spans="1:31" x14ac:dyDescent="0.25">
      <c r="A36" s="386" t="s">
        <v>71</v>
      </c>
      <c r="B36" s="375">
        <v>42214</v>
      </c>
      <c r="C36" s="376">
        <v>10</v>
      </c>
      <c r="D36" s="377">
        <v>83</v>
      </c>
      <c r="E36" s="377">
        <v>0</v>
      </c>
      <c r="F36" s="377">
        <f t="shared" si="2"/>
        <v>830</v>
      </c>
      <c r="G36" s="375">
        <v>42335</v>
      </c>
      <c r="H36" s="380">
        <v>60</v>
      </c>
      <c r="I36" s="377">
        <v>95.71</v>
      </c>
      <c r="J36" s="377">
        <v>0.11</v>
      </c>
      <c r="K36" s="376">
        <f>H36*I36-J36</f>
        <v>5742.49</v>
      </c>
      <c r="L36" s="376"/>
      <c r="M36" s="377"/>
      <c r="W36" s="154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5">
        <f t="shared" si="1"/>
        <v>1.7960649848967059E-3</v>
      </c>
    </row>
    <row r="37" spans="1:31" x14ac:dyDescent="0.25">
      <c r="A37" s="376"/>
      <c r="B37" s="375">
        <v>42221</v>
      </c>
      <c r="C37" s="376">
        <v>30</v>
      </c>
      <c r="D37" s="377">
        <v>84.6</v>
      </c>
      <c r="E37" s="377">
        <v>0</v>
      </c>
      <c r="F37" s="377">
        <f t="shared" si="2"/>
        <v>2538</v>
      </c>
      <c r="G37" s="376"/>
      <c r="H37" s="380"/>
      <c r="I37" s="376"/>
      <c r="J37" s="376"/>
      <c r="K37" s="376"/>
      <c r="L37" s="376"/>
      <c r="M37" s="377"/>
      <c r="W37" s="154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5">
        <f t="shared" si="1"/>
        <v>2.2911382047294815E-3</v>
      </c>
    </row>
    <row r="38" spans="1:31" x14ac:dyDescent="0.25">
      <c r="A38" s="376"/>
      <c r="B38" s="375">
        <v>42222</v>
      </c>
      <c r="C38" s="376">
        <v>10</v>
      </c>
      <c r="D38" s="377">
        <v>83.08</v>
      </c>
      <c r="E38" s="377">
        <v>0</v>
      </c>
      <c r="F38" s="377">
        <f t="shared" si="2"/>
        <v>830.8</v>
      </c>
      <c r="G38" s="376"/>
      <c r="H38" s="380"/>
      <c r="I38" s="376"/>
      <c r="J38" s="376"/>
      <c r="K38" s="376"/>
      <c r="L38" s="376"/>
      <c r="M38" s="377"/>
      <c r="W38" s="154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5">
        <f t="shared" si="1"/>
        <v>8.9993394980183439E-3</v>
      </c>
    </row>
    <row r="39" spans="1:31" x14ac:dyDescent="0.25">
      <c r="A39" s="376"/>
      <c r="B39" s="375">
        <v>42272</v>
      </c>
      <c r="C39" s="376">
        <v>15</v>
      </c>
      <c r="D39" s="377">
        <v>77.3</v>
      </c>
      <c r="E39" s="377">
        <v>0</v>
      </c>
      <c r="F39" s="377">
        <f t="shared" si="2"/>
        <v>1159.5</v>
      </c>
      <c r="G39" s="376"/>
      <c r="H39" s="380"/>
      <c r="I39" s="376"/>
      <c r="J39" s="376"/>
      <c r="K39" s="376"/>
      <c r="L39" s="376"/>
      <c r="M39" s="376"/>
      <c r="W39" s="154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5">
        <f t="shared" si="1"/>
        <v>3.8955656858681298E-3</v>
      </c>
    </row>
    <row r="40" spans="1:31" x14ac:dyDescent="0.25">
      <c r="A40" s="376"/>
      <c r="B40" s="375">
        <v>42335</v>
      </c>
      <c r="C40" s="376">
        <v>60</v>
      </c>
      <c r="D40" s="377">
        <v>95.69</v>
      </c>
      <c r="E40" s="377">
        <v>0</v>
      </c>
      <c r="F40" s="377">
        <f t="shared" si="2"/>
        <v>5741.4</v>
      </c>
      <c r="G40" s="376"/>
      <c r="H40" s="380"/>
      <c r="I40" s="376"/>
      <c r="J40" s="376"/>
      <c r="K40" s="376"/>
      <c r="L40" s="376"/>
      <c r="M40" s="376"/>
      <c r="W40" s="154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5">
        <f t="shared" si="1"/>
        <v>-2.3978832478914747E-3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80"/>
      <c r="I41" s="376"/>
      <c r="J41" s="376"/>
      <c r="K41" s="376"/>
      <c r="L41" s="376"/>
      <c r="M41" s="376"/>
      <c r="W41" s="154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5">
        <f t="shared" si="1"/>
        <v>4.9636002647246436E-4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151" t="s">
        <v>78</v>
      </c>
      <c r="P42" s="151"/>
      <c r="R42" s="34"/>
      <c r="T42" s="152" t="s">
        <v>92</v>
      </c>
      <c r="W42" s="154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5">
        <f t="shared" si="1"/>
        <v>8.4257946108283743E-3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 t="shared" ref="P43:P63" si="3">O43*$Q$4</f>
        <v>132.04400000000001</v>
      </c>
      <c r="Q43" s="2"/>
      <c r="R43" s="34"/>
      <c r="T43" s="10" t="s">
        <v>97</v>
      </c>
      <c r="U43" s="87">
        <v>115.19</v>
      </c>
      <c r="W43" s="154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5">
        <f t="shared" si="1"/>
        <v>-4.897891416237643E-3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si="3"/>
        <v>130.84360000000001</v>
      </c>
      <c r="Q44" s="2"/>
      <c r="R44" s="34"/>
      <c r="T44" s="10" t="s">
        <v>98</v>
      </c>
      <c r="U44" s="87">
        <v>115.59</v>
      </c>
      <c r="W44" s="154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5">
        <f t="shared" si="1"/>
        <v>8.28659914622909E-3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3"/>
        <v>129.64320000000001</v>
      </c>
      <c r="Q45" s="2"/>
      <c r="R45" s="34"/>
      <c r="T45" s="10" t="s">
        <v>99</v>
      </c>
      <c r="U45" s="87" t="s">
        <v>128</v>
      </c>
      <c r="W45" s="154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5">
        <f t="shared" si="1"/>
        <v>-3.8355707496040559E-3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3"/>
        <v>128.44280000000001</v>
      </c>
      <c r="Q46" s="2"/>
      <c r="R46" s="34"/>
      <c r="T46" s="10" t="s">
        <v>100</v>
      </c>
      <c r="U46" s="87" t="s">
        <v>128</v>
      </c>
      <c r="W46" s="154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5" t="e">
        <f t="shared" si="1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3"/>
        <v>127.24240000000002</v>
      </c>
      <c r="Q47" s="2"/>
      <c r="R47" s="34"/>
      <c r="T47" s="10" t="s">
        <v>101</v>
      </c>
      <c r="U47" s="87">
        <v>119.17</v>
      </c>
      <c r="W47" s="154">
        <v>42767</v>
      </c>
      <c r="X47" s="40" t="s">
        <v>409</v>
      </c>
      <c r="Y47" s="40"/>
      <c r="Z47" s="40"/>
      <c r="AA47" s="40"/>
      <c r="AB47" s="94"/>
      <c r="AC47" s="40"/>
      <c r="AD47" s="2">
        <f t="shared" si="0"/>
        <v>0</v>
      </c>
      <c r="AE47" s="135">
        <f t="shared" si="1"/>
        <v>-1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3"/>
        <v>126.04200000000002</v>
      </c>
      <c r="Q48" s="2"/>
      <c r="R48" s="34"/>
      <c r="T48" s="10" t="s">
        <v>102</v>
      </c>
      <c r="U48" s="87">
        <v>1.4616</v>
      </c>
      <c r="W48" s="154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5">
        <f t="shared" si="1"/>
        <v>-1.8149735316360105E-2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3"/>
        <v>124.84160000000001</v>
      </c>
      <c r="Q49" s="2"/>
      <c r="R49" s="34"/>
      <c r="T49" s="10" t="s">
        <v>103</v>
      </c>
      <c r="U49" s="87" t="s">
        <v>669</v>
      </c>
      <c r="W49" s="154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5">
        <f t="shared" si="1"/>
        <v>-5.9305045105244591E-3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3"/>
        <v>123.64120000000001</v>
      </c>
      <c r="Q50" s="2"/>
      <c r="R50" s="34"/>
      <c r="T50" s="10"/>
      <c r="U50" s="87"/>
      <c r="W50" s="154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5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122.44080000000001</v>
      </c>
      <c r="Q51" s="2"/>
      <c r="R51" s="34"/>
      <c r="T51" s="10" t="s">
        <v>104</v>
      </c>
      <c r="U51" s="87" t="s">
        <v>670</v>
      </c>
      <c r="W51" s="154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5">
        <f t="shared" si="1"/>
        <v>-8.4236864053378602E-3</v>
      </c>
    </row>
    <row r="52" spans="1:31" x14ac:dyDescent="0.25">
      <c r="O52" s="82">
        <v>1.01</v>
      </c>
      <c r="P52" s="82">
        <f t="shared" si="3"/>
        <v>121.24040000000001</v>
      </c>
      <c r="Q52" s="2"/>
      <c r="R52" s="34"/>
      <c r="T52" s="10" t="s">
        <v>105</v>
      </c>
      <c r="U52" s="87" t="s">
        <v>535</v>
      </c>
      <c r="W52" s="154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5">
        <f t="shared" si="1"/>
        <v>3.3531592104129038E-2</v>
      </c>
    </row>
    <row r="53" spans="1:31" x14ac:dyDescent="0.25">
      <c r="O53" s="82">
        <v>1</v>
      </c>
      <c r="P53" s="82">
        <f t="shared" si="3"/>
        <v>120.04</v>
      </c>
      <c r="Q53" s="2"/>
      <c r="R53" s="34"/>
      <c r="T53" s="10" t="s">
        <v>106</v>
      </c>
      <c r="U53" s="89">
        <v>1726477</v>
      </c>
      <c r="W53" s="154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5">
        <f t="shared" si="1"/>
        <v>2.7000708215297653E-2</v>
      </c>
    </row>
    <row r="54" spans="1:31" x14ac:dyDescent="0.25">
      <c r="O54" s="82">
        <v>0.99</v>
      </c>
      <c r="P54" s="82">
        <f t="shared" si="3"/>
        <v>118.8396</v>
      </c>
      <c r="Q54" s="2"/>
      <c r="R54" s="34"/>
      <c r="T54" s="10" t="s">
        <v>109</v>
      </c>
      <c r="U54" s="89">
        <v>2143790</v>
      </c>
      <c r="W54" s="154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5">
        <f t="shared" si="1"/>
        <v>-3.5398230088501403E-4</v>
      </c>
    </row>
    <row r="55" spans="1:31" x14ac:dyDescent="0.25">
      <c r="O55" s="82">
        <v>0.98</v>
      </c>
      <c r="P55" s="82">
        <f t="shared" si="3"/>
        <v>117.6392</v>
      </c>
      <c r="Q55" s="2"/>
      <c r="R55" s="34"/>
      <c r="T55" s="10" t="s">
        <v>107</v>
      </c>
      <c r="U55" s="87" t="s">
        <v>671</v>
      </c>
      <c r="W55" s="154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5">
        <f t="shared" si="1"/>
        <v>-7.2915751559342601E-3</v>
      </c>
    </row>
    <row r="56" spans="1:31" x14ac:dyDescent="0.25">
      <c r="O56" s="82">
        <v>0.97</v>
      </c>
      <c r="P56" s="82">
        <f t="shared" si="3"/>
        <v>116.4388</v>
      </c>
      <c r="T56" s="10" t="s">
        <v>110</v>
      </c>
      <c r="U56" s="87">
        <v>20.41</v>
      </c>
      <c r="W56" s="154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5">
        <f t="shared" si="1"/>
        <v>4.0493601462522788E-2</v>
      </c>
    </row>
    <row r="57" spans="1:31" x14ac:dyDescent="0.25">
      <c r="O57" s="82">
        <v>0.96</v>
      </c>
      <c r="P57" s="82">
        <f t="shared" si="3"/>
        <v>115.2384</v>
      </c>
      <c r="T57" s="10" t="s">
        <v>111</v>
      </c>
      <c r="U57" s="87">
        <v>5.62</v>
      </c>
      <c r="W57" s="154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5">
        <f t="shared" si="1"/>
        <v>9.8772269915998745E-3</v>
      </c>
    </row>
    <row r="58" spans="1:31" x14ac:dyDescent="0.25">
      <c r="O58" s="82">
        <v>0.95</v>
      </c>
      <c r="P58" s="82">
        <f t="shared" si="3"/>
        <v>114.038</v>
      </c>
      <c r="T58" s="10" t="s">
        <v>108</v>
      </c>
      <c r="U58" s="87" t="s">
        <v>586</v>
      </c>
      <c r="W58" s="154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5">
        <f t="shared" si="1"/>
        <v>-2.4141969191964763E-2</v>
      </c>
    </row>
    <row r="59" spans="1:31" x14ac:dyDescent="0.25">
      <c r="O59" s="82">
        <v>0.94</v>
      </c>
      <c r="P59" s="82">
        <f t="shared" si="3"/>
        <v>112.83759999999999</v>
      </c>
      <c r="W59" s="154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5">
        <f t="shared" si="1"/>
        <v>5.2521959612423785E-3</v>
      </c>
    </row>
    <row r="60" spans="1:31" x14ac:dyDescent="0.25">
      <c r="O60" s="82">
        <v>0.93</v>
      </c>
      <c r="P60" s="82">
        <f t="shared" si="3"/>
        <v>111.63720000000001</v>
      </c>
      <c r="W60" s="154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5">
        <f t="shared" si="1"/>
        <v>4.0916530278232166E-3</v>
      </c>
    </row>
    <row r="61" spans="1:31" x14ac:dyDescent="0.25">
      <c r="O61" s="82">
        <v>0.92</v>
      </c>
      <c r="P61" s="82">
        <f t="shared" si="3"/>
        <v>110.43680000000001</v>
      </c>
      <c r="W61" s="154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5">
        <f t="shared" si="1"/>
        <v>1.1868617168092843E-2</v>
      </c>
    </row>
    <row r="62" spans="1:31" x14ac:dyDescent="0.25">
      <c r="O62" s="82">
        <v>0.91</v>
      </c>
      <c r="P62" s="82">
        <f t="shared" si="3"/>
        <v>109.2364</v>
      </c>
      <c r="W62" s="154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5">
        <f t="shared" si="1"/>
        <v>7.3658042537516621E-4</v>
      </c>
    </row>
    <row r="63" spans="1:31" x14ac:dyDescent="0.25">
      <c r="O63" s="82">
        <v>0.9</v>
      </c>
      <c r="P63" s="82">
        <f t="shared" si="3"/>
        <v>108.036</v>
      </c>
      <c r="W63" s="154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5">
        <f t="shared" si="1"/>
        <v>-2.2236226143320104E-2</v>
      </c>
    </row>
    <row r="64" spans="1:31" x14ac:dyDescent="0.25">
      <c r="W64" s="154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5">
        <f t="shared" si="1"/>
        <v>1.2395187750638081E-2</v>
      </c>
    </row>
    <row r="65" spans="23:31" x14ac:dyDescent="0.25">
      <c r="W65" s="154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5">
        <f t="shared" si="1"/>
        <v>-3.1797946761151774E-3</v>
      </c>
    </row>
    <row r="66" spans="23:31" x14ac:dyDescent="0.25">
      <c r="W66" s="154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5">
        <f t="shared" si="1"/>
        <v>3.4200883209621225E-2</v>
      </c>
    </row>
    <row r="67" spans="23:31" x14ac:dyDescent="0.25">
      <c r="W67" s="154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5" t="e">
        <f>AC67/#REF!-1</f>
        <v>#REF!</v>
      </c>
    </row>
    <row r="68" spans="23:31" x14ac:dyDescent="0.25">
      <c r="W68" s="154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54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1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5">
        <f>AC2/AC3-1</f>
        <v>-8.3576909024479784E-3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253.69</v>
      </c>
      <c r="T3" s="63"/>
      <c r="W3" s="131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5">
        <f t="shared" ref="AE3:AE66" si="1">AC3/AC4-1</f>
        <v>7.3126142595980603E-4</v>
      </c>
    </row>
    <row r="4" spans="1:31" x14ac:dyDescent="0.25">
      <c r="B4" s="161"/>
      <c r="C4" s="4"/>
      <c r="D4" s="3"/>
      <c r="E4" s="3"/>
      <c r="F4" s="3"/>
      <c r="G4" s="73"/>
      <c r="H4" s="182"/>
      <c r="I4" s="3"/>
      <c r="J4" s="3"/>
      <c r="K4" s="3"/>
      <c r="L4" s="4"/>
      <c r="M4" s="3"/>
      <c r="O4" s="11" t="s">
        <v>66</v>
      </c>
      <c r="Q4" s="55">
        <v>253.69</v>
      </c>
      <c r="R4" s="497">
        <v>1.11E-2</v>
      </c>
      <c r="T4" s="63"/>
      <c r="W4" s="131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5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1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5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1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5">
        <f t="shared" si="1"/>
        <v>-5.7385567755637856E-3</v>
      </c>
    </row>
    <row r="7" spans="1:31" x14ac:dyDescent="0.25">
      <c r="B7" s="37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3"/>
      <c r="W7" s="131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5">
        <f t="shared" si="1"/>
        <v>1.6293279022403517E-3</v>
      </c>
    </row>
    <row r="8" spans="1:31" x14ac:dyDescent="0.25">
      <c r="B8" s="3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T8" s="63"/>
      <c r="W8" s="131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5">
        <f t="shared" si="1"/>
        <v>8.6738187628394581E-3</v>
      </c>
    </row>
    <row r="9" spans="1:31" x14ac:dyDescent="0.25">
      <c r="B9" s="3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T9" s="67"/>
      <c r="W9" s="131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5">
        <f t="shared" si="1"/>
        <v>3.6534685116684784E-4</v>
      </c>
    </row>
    <row r="10" spans="1:31" x14ac:dyDescent="0.25">
      <c r="B10" s="3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M32</f>
        <v>780.73999999999796</v>
      </c>
      <c r="W10" s="131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5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VALUE(TRIM(CLEAN(MID(U57, FIND("(", U57)+1, 5))))</f>
        <v>1.8599999999999998E-2</v>
      </c>
      <c r="W11" s="131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5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1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5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5">
        <f t="shared" si="1"/>
        <v>-2.3594286747423587E-2</v>
      </c>
    </row>
    <row r="14" spans="1:31" x14ac:dyDescent="0.25">
      <c r="W14" s="131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5">
        <f t="shared" si="1"/>
        <v>2.7127226693202111E-4</v>
      </c>
    </row>
    <row r="15" spans="1:31" x14ac:dyDescent="0.25">
      <c r="W15" s="131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5">
        <f t="shared" si="1"/>
        <v>-5.3067098398993373E-3</v>
      </c>
    </row>
    <row r="16" spans="1:31" x14ac:dyDescent="0.25">
      <c r="W16" s="131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5" t="e">
        <f t="shared" si="1"/>
        <v>#DIV/0!</v>
      </c>
    </row>
    <row r="17" spans="1:31" x14ac:dyDescent="0.25">
      <c r="W17" s="131">
        <v>42810</v>
      </c>
      <c r="X17" s="10" t="s">
        <v>334</v>
      </c>
      <c r="Y17" s="10"/>
      <c r="Z17" s="10"/>
      <c r="AA17" s="10"/>
      <c r="AB17" s="94"/>
      <c r="AC17" s="10"/>
      <c r="AD17" s="2">
        <f t="shared" si="0"/>
        <v>0</v>
      </c>
      <c r="AE17" s="135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1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5">
        <f t="shared" si="1"/>
        <v>7.0296409062415854E-3</v>
      </c>
    </row>
    <row r="19" spans="1:31" x14ac:dyDescent="0.25">
      <c r="W19" s="131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5">
        <f t="shared" si="1"/>
        <v>-9.2711706516435122E-3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5">
        <f t="shared" si="1"/>
        <v>4.4379354724188858E-4</v>
      </c>
    </row>
    <row r="21" spans="1:31" x14ac:dyDescent="0.25">
      <c r="B21" s="190"/>
      <c r="C21" s="10"/>
      <c r="D21" s="40"/>
      <c r="E21" s="40"/>
      <c r="F21" s="40"/>
      <c r="G21" s="40"/>
      <c r="H21" s="229"/>
      <c r="W21" s="131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5">
        <f t="shared" si="1"/>
        <v>1.9546626849463955E-2</v>
      </c>
    </row>
    <row r="22" spans="1:31" x14ac:dyDescent="0.25">
      <c r="B22" s="190"/>
      <c r="C22" s="10"/>
      <c r="D22" s="199"/>
      <c r="E22" s="199"/>
      <c r="F22" s="40"/>
      <c r="G22" s="40"/>
      <c r="H22" s="229"/>
      <c r="W22" s="131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5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29"/>
      <c r="W23" s="131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5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29"/>
      <c r="W24" s="131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5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29"/>
      <c r="W25" s="131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5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29"/>
      <c r="W26" s="131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5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29"/>
      <c r="W27" s="131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5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29"/>
      <c r="W28" s="131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5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5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5">
        <f t="shared" si="1"/>
        <v>1.3847770031515605E-2</v>
      </c>
    </row>
    <row r="31" spans="1:31" x14ac:dyDescent="0.25">
      <c r="W31" s="131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5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1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5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1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5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1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5">
        <f t="shared" si="1"/>
        <v>1.112384226105223E-2</v>
      </c>
    </row>
    <row r="35" spans="1:31" x14ac:dyDescent="0.25">
      <c r="A35" s="23" t="s">
        <v>71</v>
      </c>
      <c r="B35" s="72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1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5">
        <f t="shared" si="1"/>
        <v>1.0712217718587214E-2</v>
      </c>
    </row>
    <row r="36" spans="1:31" x14ac:dyDescent="0.25">
      <c r="B36" s="72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1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5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1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5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1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5">
        <f t="shared" si="1"/>
        <v>-6.7061910778500877E-3</v>
      </c>
    </row>
    <row r="39" spans="1:31" x14ac:dyDescent="0.25">
      <c r="B39" s="72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1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5">
        <f t="shared" si="1"/>
        <v>5.8165110709222922E-3</v>
      </c>
    </row>
    <row r="40" spans="1:31" x14ac:dyDescent="0.25">
      <c r="B40" s="722"/>
      <c r="C40" s="7">
        <v>10</v>
      </c>
      <c r="D40" s="44">
        <v>120.5</v>
      </c>
      <c r="E40" s="44">
        <v>0</v>
      </c>
      <c r="F40" s="44">
        <f t="shared" si="2"/>
        <v>1205</v>
      </c>
      <c r="W40" s="131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5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16" t="s">
        <v>78</v>
      </c>
      <c r="P41" s="716"/>
      <c r="T41" s="90" t="s">
        <v>112</v>
      </c>
      <c r="W41" s="131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5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279.05900000000003</v>
      </c>
      <c r="Q42" s="2"/>
      <c r="T42" s="132" t="s">
        <v>97</v>
      </c>
      <c r="U42" s="97">
        <v>218.96</v>
      </c>
      <c r="W42" s="131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5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276.52210000000002</v>
      </c>
      <c r="Q43" s="2"/>
      <c r="T43" s="133" t="s">
        <v>98</v>
      </c>
      <c r="U43" s="87">
        <v>219.54</v>
      </c>
      <c r="W43" s="131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5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273.98520000000002</v>
      </c>
      <c r="Q44" s="2"/>
      <c r="T44" s="133" t="s">
        <v>99</v>
      </c>
      <c r="U44" s="87" t="s">
        <v>700</v>
      </c>
      <c r="W44" s="131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5">
        <f t="shared" si="1"/>
        <v>1.9490327924767126E-3</v>
      </c>
    </row>
    <row r="45" spans="1:31" x14ac:dyDescent="0.25">
      <c r="O45" s="82">
        <v>1.07</v>
      </c>
      <c r="P45" s="82">
        <f t="shared" si="3"/>
        <v>271.44830000000002</v>
      </c>
      <c r="Q45" s="2"/>
      <c r="T45" s="133" t="s">
        <v>100</v>
      </c>
      <c r="U45" s="87" t="s">
        <v>701</v>
      </c>
      <c r="W45" s="131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5">
        <f t="shared" si="1"/>
        <v>1.03382070595186E-2</v>
      </c>
    </row>
    <row r="46" spans="1:31" x14ac:dyDescent="0.25">
      <c r="O46" s="82">
        <v>1.06</v>
      </c>
      <c r="P46" s="82">
        <f t="shared" si="3"/>
        <v>268.91140000000001</v>
      </c>
      <c r="Q46" s="2"/>
      <c r="T46" s="133" t="s">
        <v>101</v>
      </c>
      <c r="U46" s="87">
        <v>248.39</v>
      </c>
      <c r="W46" s="131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5">
        <f t="shared" si="1"/>
        <v>1.7754105636926809E-3</v>
      </c>
    </row>
    <row r="47" spans="1:31" x14ac:dyDescent="0.25">
      <c r="O47" s="82">
        <v>1.05</v>
      </c>
      <c r="P47" s="82">
        <f t="shared" si="3"/>
        <v>266.37450000000001</v>
      </c>
      <c r="Q47" s="2"/>
      <c r="T47" s="133" t="s">
        <v>102</v>
      </c>
      <c r="U47" s="87">
        <v>1.1192500000000001</v>
      </c>
      <c r="W47" s="131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5">
        <f t="shared" si="1"/>
        <v>2.0996978851963721E-2</v>
      </c>
    </row>
    <row r="48" spans="1:31" x14ac:dyDescent="0.25">
      <c r="O48" s="82">
        <v>1.04</v>
      </c>
      <c r="P48" s="82">
        <f t="shared" si="3"/>
        <v>263.83760000000001</v>
      </c>
      <c r="Q48" s="2"/>
      <c r="T48" s="133" t="s">
        <v>103</v>
      </c>
      <c r="U48" s="87" t="s">
        <v>128</v>
      </c>
      <c r="W48" s="131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5">
        <f t="shared" si="1"/>
        <v>-1.8289668808700088E-2</v>
      </c>
    </row>
    <row r="49" spans="1:31" x14ac:dyDescent="0.25">
      <c r="O49" s="82">
        <v>1.03</v>
      </c>
      <c r="P49" s="82">
        <f t="shared" si="3"/>
        <v>261.30070000000001</v>
      </c>
      <c r="Q49" s="2"/>
      <c r="T49" s="133"/>
      <c r="U49" s="87"/>
      <c r="W49" s="131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5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258.7638</v>
      </c>
      <c r="Q50" s="2"/>
      <c r="T50" s="133" t="s">
        <v>104</v>
      </c>
      <c r="U50" s="87" t="s">
        <v>702</v>
      </c>
      <c r="W50" s="131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5">
        <f t="shared" si="1"/>
        <v>7.5276752767527988E-3</v>
      </c>
    </row>
    <row r="51" spans="1:31" x14ac:dyDescent="0.25">
      <c r="O51" s="82">
        <v>1.01</v>
      </c>
      <c r="P51" s="82">
        <f t="shared" si="3"/>
        <v>256.2269</v>
      </c>
      <c r="Q51" s="2"/>
      <c r="T51" s="133" t="s">
        <v>105</v>
      </c>
      <c r="U51" s="87" t="s">
        <v>529</v>
      </c>
      <c r="W51" s="131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5">
        <f t="shared" si="1"/>
        <v>8.3345735972615298E-3</v>
      </c>
    </row>
    <row r="52" spans="1:31" x14ac:dyDescent="0.25">
      <c r="O52" s="82">
        <v>1</v>
      </c>
      <c r="P52" s="82">
        <f t="shared" si="3"/>
        <v>253.69</v>
      </c>
      <c r="Q52" s="2"/>
      <c r="T52" s="133" t="s">
        <v>106</v>
      </c>
      <c r="U52" s="89">
        <v>1568971</v>
      </c>
      <c r="W52" s="131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5">
        <f t="shared" si="1"/>
        <v>2.3925632429137256E-2</v>
      </c>
    </row>
    <row r="53" spans="1:31" x14ac:dyDescent="0.25">
      <c r="O53" s="82">
        <v>0.99</v>
      </c>
      <c r="P53" s="82">
        <f t="shared" si="3"/>
        <v>251.15309999999999</v>
      </c>
      <c r="Q53" s="2"/>
      <c r="T53" s="133" t="s">
        <v>109</v>
      </c>
      <c r="U53" s="89">
        <v>2816230</v>
      </c>
      <c r="W53" s="131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5">
        <f t="shared" si="1"/>
        <v>3.53423792994636E-2</v>
      </c>
    </row>
    <row r="54" spans="1:31" x14ac:dyDescent="0.25">
      <c r="O54" s="82">
        <v>0.98</v>
      </c>
      <c r="P54" s="82">
        <f t="shared" si="3"/>
        <v>248.61619999999999</v>
      </c>
      <c r="Q54" s="2"/>
      <c r="T54" s="133" t="s">
        <v>107</v>
      </c>
      <c r="U54" s="87" t="s">
        <v>703</v>
      </c>
      <c r="W54" s="131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5">
        <f t="shared" si="1"/>
        <v>-4.2056566081383195E-4</v>
      </c>
    </row>
    <row r="55" spans="1:31" x14ac:dyDescent="0.25">
      <c r="O55" s="82">
        <v>0.97</v>
      </c>
      <c r="P55" s="82">
        <f t="shared" si="3"/>
        <v>246.07929999999999</v>
      </c>
      <c r="T55" s="133" t="s">
        <v>110</v>
      </c>
      <c r="U55" s="87" t="s">
        <v>128</v>
      </c>
      <c r="W55" s="131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5">
        <f t="shared" si="1"/>
        <v>2.9774794283239592E-2</v>
      </c>
    </row>
    <row r="56" spans="1:31" x14ac:dyDescent="0.25">
      <c r="O56" s="82">
        <v>0.96</v>
      </c>
      <c r="P56" s="82">
        <f t="shared" si="3"/>
        <v>243.54239999999999</v>
      </c>
      <c r="T56" s="133" t="s">
        <v>111</v>
      </c>
      <c r="U56" s="87">
        <v>-4.7300000000000004</v>
      </c>
      <c r="W56" s="131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5">
        <f t="shared" si="1"/>
        <v>2.9319144315342882E-3</v>
      </c>
    </row>
    <row r="57" spans="1:31" x14ac:dyDescent="0.25">
      <c r="O57" s="82">
        <v>0.95</v>
      </c>
      <c r="P57" s="82">
        <f t="shared" si="3"/>
        <v>241.00549999999998</v>
      </c>
      <c r="T57" s="133" t="s">
        <v>108</v>
      </c>
      <c r="U57" s="87" t="s">
        <v>594</v>
      </c>
      <c r="W57" s="131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5">
        <f t="shared" si="1"/>
        <v>3.2978126752664094E-2</v>
      </c>
    </row>
    <row r="58" spans="1:31" x14ac:dyDescent="0.25">
      <c r="O58" s="82">
        <v>0.94</v>
      </c>
      <c r="P58" s="82">
        <f t="shared" si="3"/>
        <v>238.46859999999998</v>
      </c>
      <c r="W58" s="131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5">
        <f t="shared" si="1"/>
        <v>-7.4593631707858821E-3</v>
      </c>
    </row>
    <row r="59" spans="1:31" x14ac:dyDescent="0.25">
      <c r="O59" s="82">
        <v>0.93</v>
      </c>
      <c r="P59" s="82">
        <f t="shared" si="3"/>
        <v>235.93170000000001</v>
      </c>
      <c r="W59" s="131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5">
        <f t="shared" si="1"/>
        <v>8.9300758213983755E-3</v>
      </c>
    </row>
    <row r="60" spans="1:31" x14ac:dyDescent="0.25">
      <c r="O60" s="82">
        <v>0.92</v>
      </c>
      <c r="P60" s="82">
        <f t="shared" si="3"/>
        <v>233.3948</v>
      </c>
      <c r="W60" s="131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5">
        <f t="shared" si="1"/>
        <v>-3.1353227702816122E-3</v>
      </c>
    </row>
    <row r="61" spans="1:31" x14ac:dyDescent="0.25">
      <c r="O61" s="82">
        <v>0.91</v>
      </c>
      <c r="P61" s="82">
        <f t="shared" si="3"/>
        <v>230.8579</v>
      </c>
      <c r="W61" s="131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5">
        <f t="shared" si="1"/>
        <v>-6.3421418636995242E-3</v>
      </c>
    </row>
    <row r="62" spans="1:31" x14ac:dyDescent="0.25">
      <c r="O62" s="82">
        <v>0.9</v>
      </c>
      <c r="P62" s="82">
        <f t="shared" si="3"/>
        <v>228.321</v>
      </c>
      <c r="W62" s="131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5">
        <f t="shared" si="1"/>
        <v>2.0321280581256707E-2</v>
      </c>
    </row>
    <row r="63" spans="1:31" x14ac:dyDescent="0.25">
      <c r="W63" s="131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5">
        <f t="shared" si="1"/>
        <v>2.1616701746400846E-3</v>
      </c>
    </row>
    <row r="64" spans="1:31" x14ac:dyDescent="0.25">
      <c r="W64" s="131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5">
        <f t="shared" si="1"/>
        <v>1.3257248256383525E-2</v>
      </c>
    </row>
    <row r="65" spans="23:31" x14ac:dyDescent="0.25">
      <c r="W65" s="131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5">
        <f t="shared" si="1"/>
        <v>-1.5771259998865417E-2</v>
      </c>
    </row>
    <row r="66" spans="23:31" x14ac:dyDescent="0.25">
      <c r="W66" s="131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5">
        <f t="shared" si="1"/>
        <v>-7.0973919900860771E-3</v>
      </c>
    </row>
    <row r="67" spans="23:31" x14ac:dyDescent="0.25">
      <c r="W67" s="131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5">
        <f>AC67/AC68-1</f>
        <v>8.8651474683185683E-3</v>
      </c>
    </row>
    <row r="68" spans="23:31" x14ac:dyDescent="0.25">
      <c r="W68" s="131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248</v>
      </c>
      <c r="W2" s="131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5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7">
        <f>IF(Q2=0, Q4, (F18-K18-M18)/Q2)</f>
        <v>66.959999999999994</v>
      </c>
      <c r="T3" s="1"/>
      <c r="W3" s="131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5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66.959999999999994</v>
      </c>
      <c r="R4" s="497">
        <v>3.7000000000000002E-3</v>
      </c>
      <c r="T4" s="160"/>
      <c r="W4" s="131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5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1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5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1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5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1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5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181</v>
      </c>
      <c r="P8" s="34"/>
      <c r="Q8" s="2">
        <f>K18+M18-F18+Q2*Q4</f>
        <v>0</v>
      </c>
      <c r="W8" s="131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5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211</v>
      </c>
      <c r="Q9" s="135">
        <f>IF(Q2=0, 0, Q8/Q6)</f>
        <v>0</v>
      </c>
      <c r="W9" s="131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5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210</v>
      </c>
      <c r="P10" s="34"/>
      <c r="Q10" s="2">
        <f>M75</f>
        <v>1461.5600000000013</v>
      </c>
      <c r="W10" s="131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5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4"/>
      <c r="Q11" s="135">
        <f>IF(U58="N/A (N/A)", 0, VALUE(TRIM(CLEAN(MID(U58, FIND("(", U58)+1, 5)))))</f>
        <v>0</v>
      </c>
      <c r="W11" s="131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5">
        <f t="shared" si="1"/>
        <v>8.2150858849887598E-3</v>
      </c>
    </row>
    <row r="12" spans="1:31" x14ac:dyDescent="0.25">
      <c r="W12" s="131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5">
        <f t="shared" si="1"/>
        <v>2.5582107843137303E-2</v>
      </c>
    </row>
    <row r="13" spans="1:31" x14ac:dyDescent="0.25">
      <c r="W13" s="131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5">
        <f t="shared" si="1"/>
        <v>-3.2745591939546514E-2</v>
      </c>
    </row>
    <row r="14" spans="1:31" x14ac:dyDescent="0.25">
      <c r="W14" s="131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5">
        <f t="shared" si="1"/>
        <v>1.0480610869890494E-2</v>
      </c>
    </row>
    <row r="15" spans="1:31" x14ac:dyDescent="0.25">
      <c r="W15" s="131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5">
        <f t="shared" si="1"/>
        <v>-1.1397276494967357E-2</v>
      </c>
    </row>
    <row r="16" spans="1:31" x14ac:dyDescent="0.25">
      <c r="W16" s="131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5">
        <f t="shared" si="1"/>
        <v>-8.9482176910664624E-3</v>
      </c>
    </row>
    <row r="17" spans="1:31" x14ac:dyDescent="0.25">
      <c r="W17" s="131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5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1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5">
        <f t="shared" si="1"/>
        <v>-4.7244094488188892E-2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SumByColor($A$19,H3:H17)</f>
        <v>0</v>
      </c>
      <c r="I19" s="353"/>
      <c r="J19" s="353"/>
      <c r="K19" s="354">
        <f>SumByColor($A$19,K3:K17)</f>
        <v>0</v>
      </c>
      <c r="L19" s="353"/>
      <c r="M19" s="354">
        <f>SumByColor($A$19,M2:M17)</f>
        <v>0</v>
      </c>
      <c r="W19" s="131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5">
        <f t="shared" si="1"/>
        <v>-3.4420790710533722E-2</v>
      </c>
    </row>
    <row r="20" spans="1:31" x14ac:dyDescent="0.25">
      <c r="W20" s="131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5">
        <f t="shared" si="1"/>
        <v>-2.7570995312931057E-3</v>
      </c>
    </row>
    <row r="21" spans="1:31" x14ac:dyDescent="0.25">
      <c r="W21" s="131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5">
        <f t="shared" si="1"/>
        <v>-1.2254901960784159E-2</v>
      </c>
    </row>
    <row r="22" spans="1:31" x14ac:dyDescent="0.25">
      <c r="W22" s="131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5">
        <f t="shared" si="1"/>
        <v>1.1013215859030812E-2</v>
      </c>
    </row>
    <row r="23" spans="1:31" x14ac:dyDescent="0.25">
      <c r="W23" s="131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5">
        <f t="shared" si="1"/>
        <v>-6.8362045392398318E-3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5">
        <f t="shared" si="1"/>
        <v>-3.241169466860705E-2</v>
      </c>
    </row>
    <row r="25" spans="1:31" x14ac:dyDescent="0.25">
      <c r="B25" s="190">
        <v>42485</v>
      </c>
      <c r="C25" s="234">
        <v>80</v>
      </c>
      <c r="D25" s="235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8">
        <f t="shared" ref="H25:H39" si="4">(E25-D25)/D25</f>
        <v>-2.6262626262626779E-3</v>
      </c>
      <c r="I25" s="40"/>
      <c r="W25" s="131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5">
        <f t="shared" si="1"/>
        <v>3.1522925764192244E-2</v>
      </c>
    </row>
    <row r="26" spans="1:31" x14ac:dyDescent="0.25">
      <c r="B26" s="190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8">
        <f t="shared" si="4"/>
        <v>-2.9090909090909046E-2</v>
      </c>
      <c r="I26" s="40"/>
      <c r="W26" s="131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5">
        <f t="shared" si="1"/>
        <v>-2.7987796790025166E-2</v>
      </c>
    </row>
    <row r="27" spans="1:31" x14ac:dyDescent="0.25">
      <c r="B27" s="190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8">
        <f t="shared" si="4"/>
        <v>-6.4911206368646654E-2</v>
      </c>
      <c r="I27" s="40"/>
      <c r="W27" s="131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5">
        <f t="shared" si="1"/>
        <v>1.7546227561074268E-2</v>
      </c>
    </row>
    <row r="28" spans="1:31" x14ac:dyDescent="0.25">
      <c r="B28" s="190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8">
        <f t="shared" si="4"/>
        <v>-4.4894742438489316E-2</v>
      </c>
      <c r="I28" s="40">
        <v>43.25</v>
      </c>
      <c r="W28" s="131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5">
        <f t="shared" si="1"/>
        <v>-1.580765143464391E-2</v>
      </c>
    </row>
    <row r="29" spans="1:31" x14ac:dyDescent="0.25">
      <c r="B29" s="190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8">
        <f t="shared" si="4"/>
        <v>-5.363904080774079E-2</v>
      </c>
      <c r="I29" s="40"/>
      <c r="W29" s="131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5">
        <f t="shared" si="1"/>
        <v>2.6638252530635231E-3</v>
      </c>
    </row>
    <row r="30" spans="1:31" x14ac:dyDescent="0.25">
      <c r="B30" s="190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8">
        <f t="shared" si="4"/>
        <v>-7.066195700166425E-2</v>
      </c>
      <c r="I30" s="40"/>
      <c r="W30" s="131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5">
        <f t="shared" si="1"/>
        <v>6.9742489270385732E-3</v>
      </c>
    </row>
    <row r="31" spans="1:31" x14ac:dyDescent="0.25">
      <c r="B31" s="190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8">
        <f t="shared" si="4"/>
        <v>-4.2004890805964056E-2</v>
      </c>
      <c r="I31" s="40"/>
      <c r="W31" s="131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5">
        <f t="shared" si="1"/>
        <v>-1.1533872464536743E-2</v>
      </c>
    </row>
    <row r="32" spans="1:31" x14ac:dyDescent="0.25">
      <c r="B32" s="190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8">
        <f t="shared" si="4"/>
        <v>-5.4741364670719717E-2</v>
      </c>
      <c r="I32" s="40"/>
      <c r="W32" s="131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5">
        <f t="shared" si="1"/>
        <v>2.6521681474611647E-4</v>
      </c>
    </row>
    <row r="33" spans="2:31" x14ac:dyDescent="0.25">
      <c r="B33" s="190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8">
        <f t="shared" si="4"/>
        <v>-2.7570220425907684E-2</v>
      </c>
      <c r="I33" s="40"/>
      <c r="W33" s="131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5">
        <f t="shared" si="1"/>
        <v>-7.240652975250117E-3</v>
      </c>
    </row>
    <row r="34" spans="2:31" x14ac:dyDescent="0.25">
      <c r="B34" s="190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8">
        <f t="shared" si="4"/>
        <v>-9.3973600599281767E-2</v>
      </c>
      <c r="I34" s="40"/>
      <c r="W34" s="131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5">
        <f t="shared" si="1"/>
        <v>3.8324302894143791E-3</v>
      </c>
    </row>
    <row r="35" spans="2:31" x14ac:dyDescent="0.25">
      <c r="B35" s="190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8">
        <f t="shared" si="4"/>
        <v>-6.5774632121853957E-2</v>
      </c>
      <c r="I35" s="40"/>
      <c r="W35" s="131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5">
        <f t="shared" si="1"/>
        <v>-1.05610561056102E-3</v>
      </c>
    </row>
    <row r="36" spans="2:31" x14ac:dyDescent="0.25">
      <c r="B36" s="190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8">
        <f t="shared" si="4"/>
        <v>-3.4438226431338814E-2</v>
      </c>
      <c r="I36" s="40"/>
      <c r="W36" s="131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5">
        <f t="shared" si="1"/>
        <v>2.7257933279088764E-2</v>
      </c>
    </row>
    <row r="37" spans="2:31" x14ac:dyDescent="0.25">
      <c r="B37" s="190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8">
        <f t="shared" si="4"/>
        <v>-2.948773138183378E-2</v>
      </c>
      <c r="I37" s="40"/>
      <c r="W37" s="131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5">
        <f t="shared" si="1"/>
        <v>-1.3542795232936999E-3</v>
      </c>
    </row>
    <row r="38" spans="2:31" x14ac:dyDescent="0.25">
      <c r="B38" s="190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8">
        <f t="shared" si="4"/>
        <v>-6.5170526781272414E-2</v>
      </c>
      <c r="I38" s="40"/>
      <c r="W38" s="131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5">
        <f t="shared" si="1"/>
        <v>1.7079889807162685E-2</v>
      </c>
    </row>
    <row r="39" spans="2:31" x14ac:dyDescent="0.25">
      <c r="B39" s="190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8">
        <f t="shared" si="4"/>
        <v>-0.14637951853543596</v>
      </c>
      <c r="I39" s="40"/>
      <c r="W39" s="131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5">
        <f t="shared" si="1"/>
        <v>-5.206906001644418E-3</v>
      </c>
    </row>
    <row r="40" spans="2:31" ht="20.25" thickBot="1" x14ac:dyDescent="0.35">
      <c r="B40" s="190">
        <v>42549</v>
      </c>
      <c r="C40" s="442">
        <v>450</v>
      </c>
      <c r="D40" s="443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8">
        <f t="shared" ref="H40:H57" si="7">(E40-D40)/D40</f>
        <v>-0.11924456283325108</v>
      </c>
      <c r="I40" s="40"/>
      <c r="O40" s="716" t="s">
        <v>78</v>
      </c>
      <c r="P40" s="716"/>
      <c r="W40" s="131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5">
        <f t="shared" si="1"/>
        <v>1.7852161785216092E-2</v>
      </c>
    </row>
    <row r="41" spans="2:31" ht="15.75" thickTop="1" x14ac:dyDescent="0.25">
      <c r="B41" s="190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8">
        <f t="shared" si="7"/>
        <v>-8.261237263530162E-2</v>
      </c>
      <c r="I41" s="40"/>
      <c r="O41" s="82">
        <v>1.1000000000000001</v>
      </c>
      <c r="P41" s="82">
        <f>O41*$Q$4</f>
        <v>73.656000000000006</v>
      </c>
      <c r="Q41" s="2"/>
      <c r="W41" s="131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5">
        <f t="shared" si="1"/>
        <v>5.7511572450552606E-3</v>
      </c>
    </row>
    <row r="42" spans="2:31" ht="20.25" thickBot="1" x14ac:dyDescent="0.35">
      <c r="B42" s="190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8">
        <f t="shared" si="7"/>
        <v>-6.4522402167178472E-2</v>
      </c>
      <c r="I42" s="40"/>
      <c r="O42" s="82">
        <v>1.0900000000000001</v>
      </c>
      <c r="P42" s="82">
        <f t="shared" ref="P42:P61" si="8">O42*$Q$4</f>
        <v>72.986400000000003</v>
      </c>
      <c r="Q42" s="2"/>
      <c r="T42" s="90" t="s">
        <v>112</v>
      </c>
      <c r="W42" s="131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5">
        <f t="shared" si="1"/>
        <v>-3.0068027210884307E-2</v>
      </c>
    </row>
    <row r="43" spans="2:31" ht="15.75" thickTop="1" x14ac:dyDescent="0.25">
      <c r="B43" s="190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8">
        <f t="shared" si="7"/>
        <v>-8.8943862299144777E-2</v>
      </c>
      <c r="I43" s="40"/>
      <c r="O43" s="82">
        <v>1.08</v>
      </c>
      <c r="P43" s="82">
        <f t="shared" si="8"/>
        <v>72.316800000000001</v>
      </c>
      <c r="Q43" s="2"/>
      <c r="T43" s="126" t="s">
        <v>97</v>
      </c>
      <c r="U43" s="97">
        <v>69.760000000000005</v>
      </c>
      <c r="W43" s="131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5">
        <f t="shared" si="1"/>
        <v>6.0224473035861426E-3</v>
      </c>
    </row>
    <row r="44" spans="2:31" x14ac:dyDescent="0.25">
      <c r="B44" s="190">
        <v>42557</v>
      </c>
      <c r="C44" s="442">
        <v>450</v>
      </c>
      <c r="D44" s="443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8">
        <f t="shared" si="7"/>
        <v>-0.10299678028098951</v>
      </c>
      <c r="I44" s="40"/>
      <c r="O44" s="82">
        <v>1.07</v>
      </c>
      <c r="P44" s="82">
        <f t="shared" si="8"/>
        <v>71.647199999999998</v>
      </c>
      <c r="Q44" s="2"/>
      <c r="T44" s="92" t="s">
        <v>98</v>
      </c>
      <c r="U44" s="87">
        <v>70.23</v>
      </c>
      <c r="W44" s="131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5">
        <f t="shared" si="1"/>
        <v>1.2752980316052209E-2</v>
      </c>
    </row>
    <row r="45" spans="2:31" x14ac:dyDescent="0.25">
      <c r="B45" s="190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8">
        <f t="shared" si="7"/>
        <v>-5.3480194506625535E-2</v>
      </c>
      <c r="I45" s="40"/>
      <c r="O45" s="82">
        <v>1.06</v>
      </c>
      <c r="P45" s="82">
        <f t="shared" si="8"/>
        <v>70.977599999999995</v>
      </c>
      <c r="Q45" s="2"/>
      <c r="T45" s="92" t="s">
        <v>99</v>
      </c>
      <c r="U45" s="87" t="s">
        <v>128</v>
      </c>
      <c r="W45" s="131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5">
        <f t="shared" si="1"/>
        <v>9.2333519865697156E-3</v>
      </c>
    </row>
    <row r="46" spans="2:31" x14ac:dyDescent="0.25">
      <c r="B46" s="190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8">
        <f t="shared" si="7"/>
        <v>-3.5408535531355541E-2</v>
      </c>
      <c r="I46" s="40"/>
      <c r="O46" s="82">
        <v>1.05</v>
      </c>
      <c r="P46" s="82">
        <f t="shared" si="8"/>
        <v>70.307999999999993</v>
      </c>
      <c r="Q46" s="2"/>
      <c r="T46" s="92" t="s">
        <v>100</v>
      </c>
      <c r="U46" s="87" t="s">
        <v>128</v>
      </c>
      <c r="W46" s="131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5">
        <f t="shared" si="1"/>
        <v>1.4332340002838118E-2</v>
      </c>
    </row>
    <row r="47" spans="2:31" x14ac:dyDescent="0.25">
      <c r="B47" s="190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8">
        <f t="shared" si="7"/>
        <v>4.9883093606994312E-2</v>
      </c>
      <c r="I47" s="40"/>
      <c r="O47" s="82">
        <v>1.04</v>
      </c>
      <c r="P47" s="82">
        <f t="shared" si="8"/>
        <v>69.63839999999999</v>
      </c>
      <c r="Q47" s="2"/>
      <c r="T47" s="92" t="s">
        <v>101</v>
      </c>
      <c r="U47" s="87">
        <v>83.81</v>
      </c>
      <c r="W47" s="131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5">
        <f t="shared" si="1"/>
        <v>-1.7428890128276642E-2</v>
      </c>
    </row>
    <row r="48" spans="2:31" x14ac:dyDescent="0.25">
      <c r="B48" s="190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8">
        <f t="shared" si="7"/>
        <v>9.4936578133857141E-2</v>
      </c>
      <c r="I48" s="40"/>
      <c r="O48" s="82">
        <v>1.03</v>
      </c>
      <c r="P48" s="82">
        <f t="shared" si="8"/>
        <v>68.968800000000002</v>
      </c>
      <c r="Q48" s="2"/>
      <c r="T48" s="92" t="s">
        <v>102</v>
      </c>
      <c r="U48" s="87">
        <v>0.99472499999999997</v>
      </c>
      <c r="W48" s="131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5">
        <f t="shared" si="1"/>
        <v>-3.628056973931737E-2</v>
      </c>
    </row>
    <row r="49" spans="2:31" x14ac:dyDescent="0.25">
      <c r="B49" s="190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8">
        <f t="shared" si="7"/>
        <v>9.8149554887970336E-2</v>
      </c>
      <c r="I49" s="40"/>
      <c r="O49" s="82">
        <v>1.02</v>
      </c>
      <c r="P49" s="82">
        <f t="shared" si="8"/>
        <v>68.299199999999999</v>
      </c>
      <c r="Q49" s="2"/>
      <c r="T49" s="92" t="s">
        <v>121</v>
      </c>
      <c r="U49" s="87" t="s">
        <v>359</v>
      </c>
      <c r="W49" s="131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5">
        <f t="shared" si="1"/>
        <v>-1.2735473600424485E-2</v>
      </c>
    </row>
    <row r="50" spans="2:31" x14ac:dyDescent="0.25">
      <c r="B50" s="190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8">
        <f t="shared" si="7"/>
        <v>0.10847698016904833</v>
      </c>
      <c r="I50" s="40"/>
      <c r="O50" s="82">
        <v>1.01</v>
      </c>
      <c r="P50" s="82">
        <f t="shared" si="8"/>
        <v>67.629599999999996</v>
      </c>
      <c r="Q50" s="2"/>
      <c r="T50" s="92"/>
      <c r="U50" s="87"/>
      <c r="W50" s="131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5">
        <f t="shared" si="1"/>
        <v>2.432395705938295E-2</v>
      </c>
    </row>
    <row r="51" spans="2:31" x14ac:dyDescent="0.25">
      <c r="B51" s="190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8">
        <f t="shared" si="7"/>
        <v>7.0839252478008166E-2</v>
      </c>
      <c r="I51" s="40"/>
      <c r="O51" s="82">
        <v>1</v>
      </c>
      <c r="P51" s="82">
        <f t="shared" si="8"/>
        <v>66.959999999999994</v>
      </c>
      <c r="Q51" s="2"/>
      <c r="T51" s="92" t="s">
        <v>104</v>
      </c>
      <c r="U51" s="87" t="s">
        <v>738</v>
      </c>
      <c r="W51" s="131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5">
        <f t="shared" si="1"/>
        <v>5.6026236676687269E-3</v>
      </c>
    </row>
    <row r="52" spans="2:31" x14ac:dyDescent="0.25">
      <c r="B52" s="190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8">
        <f t="shared" si="7"/>
        <v>9.1723601379743946E-2</v>
      </c>
      <c r="I52" s="40"/>
      <c r="O52" s="82">
        <v>0.99</v>
      </c>
      <c r="P52" s="82">
        <f t="shared" si="8"/>
        <v>66.290399999999991</v>
      </c>
      <c r="Q52" s="2"/>
      <c r="T52" s="92" t="s">
        <v>105</v>
      </c>
      <c r="U52" s="87" t="s">
        <v>336</v>
      </c>
      <c r="W52" s="131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5">
        <f t="shared" si="1"/>
        <v>5.9106529209622671E-3</v>
      </c>
    </row>
    <row r="53" spans="2:31" x14ac:dyDescent="0.25">
      <c r="B53" s="190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8">
        <f t="shared" si="7"/>
        <v>7.6117714288337052E-2</v>
      </c>
      <c r="I53" s="40"/>
      <c r="O53" s="82">
        <v>0.98</v>
      </c>
      <c r="P53" s="82">
        <f t="shared" si="8"/>
        <v>65.620799999999988</v>
      </c>
      <c r="Q53" s="2"/>
      <c r="T53" s="92" t="s">
        <v>106</v>
      </c>
      <c r="U53" s="89">
        <v>2640252</v>
      </c>
      <c r="W53" s="131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5">
        <f t="shared" si="1"/>
        <v>-3.3094098883572509E-2</v>
      </c>
    </row>
    <row r="54" spans="2:31" x14ac:dyDescent="0.25">
      <c r="B54" s="190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8">
        <f t="shared" si="7"/>
        <v>9.5395574813016068E-2</v>
      </c>
      <c r="I54" s="40"/>
      <c r="O54" s="82">
        <v>0.97</v>
      </c>
      <c r="P54" s="82">
        <f t="shared" si="8"/>
        <v>64.951199999999986</v>
      </c>
      <c r="T54" s="92" t="s">
        <v>109</v>
      </c>
      <c r="U54" s="89">
        <v>3897750</v>
      </c>
      <c r="W54" s="131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5">
        <f t="shared" si="1"/>
        <v>1.6482031883274795E-2</v>
      </c>
    </row>
    <row r="55" spans="2:31" x14ac:dyDescent="0.25">
      <c r="B55" s="190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8">
        <f t="shared" si="7"/>
        <v>7.6117714288337052E-2</v>
      </c>
      <c r="I55" s="40"/>
      <c r="O55" s="82">
        <v>0.96</v>
      </c>
      <c r="P55" s="82">
        <f t="shared" si="8"/>
        <v>64.281599999999997</v>
      </c>
      <c r="T55" s="92" t="s">
        <v>107</v>
      </c>
      <c r="U55" s="87" t="s">
        <v>739</v>
      </c>
      <c r="W55" s="131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5">
        <f t="shared" si="1"/>
        <v>2.7027027027015649E-4</v>
      </c>
    </row>
    <row r="56" spans="2:31" x14ac:dyDescent="0.25">
      <c r="B56" s="190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8">
        <f t="shared" si="7"/>
        <v>1.8972627733038244E-2</v>
      </c>
      <c r="I56" s="40"/>
      <c r="O56" s="82">
        <v>0.95</v>
      </c>
      <c r="P56" s="82">
        <f t="shared" si="8"/>
        <v>63.611999999999988</v>
      </c>
      <c r="T56" s="92" t="s">
        <v>110</v>
      </c>
      <c r="U56" s="87">
        <v>10.23</v>
      </c>
      <c r="W56" s="131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5">
        <f t="shared" si="1"/>
        <v>3.5259018171955869E-3</v>
      </c>
    </row>
    <row r="57" spans="2:31" x14ac:dyDescent="0.25">
      <c r="B57" s="190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8">
        <f t="shared" si="7"/>
        <v>0.24429413174662135</v>
      </c>
      <c r="I57" s="40"/>
      <c r="O57" s="82">
        <v>0.94</v>
      </c>
      <c r="P57" s="82">
        <f t="shared" si="8"/>
        <v>62.942399999999992</v>
      </c>
      <c r="T57" s="92" t="s">
        <v>111</v>
      </c>
      <c r="U57" s="87">
        <v>6.85</v>
      </c>
      <c r="W57" s="131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5">
        <f t="shared" si="1"/>
        <v>-7.8040904198062311E-3</v>
      </c>
    </row>
    <row r="58" spans="2:31" x14ac:dyDescent="0.25">
      <c r="B58" s="190">
        <v>42598</v>
      </c>
      <c r="C58" s="10">
        <v>0</v>
      </c>
      <c r="D58" s="40"/>
      <c r="E58" s="40"/>
      <c r="F58" s="40">
        <v>1461.56</v>
      </c>
      <c r="G58" s="40"/>
      <c r="H58" s="228"/>
      <c r="I58" s="40"/>
      <c r="O58" s="82">
        <v>0.93</v>
      </c>
      <c r="P58" s="82">
        <f t="shared" si="8"/>
        <v>62.272799999999997</v>
      </c>
      <c r="T58" s="92" t="s">
        <v>108</v>
      </c>
      <c r="U58" s="87" t="s">
        <v>122</v>
      </c>
      <c r="W58" s="131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5">
        <f t="shared" si="1"/>
        <v>4.3243243243242802E-3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8"/>
        <v>61.603199999999994</v>
      </c>
      <c r="W59" s="131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5">
        <f t="shared" si="1"/>
        <v>-1.3859275053304976E-2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8"/>
        <v>60.933599999999998</v>
      </c>
      <c r="W60" s="131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5">
        <f t="shared" si="1"/>
        <v>1.873472712462676E-2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8"/>
        <v>60.263999999999996</v>
      </c>
      <c r="W61" s="131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5">
        <f t="shared" si="1"/>
        <v>3.338945005611671E-2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5">
        <f t="shared" si="1"/>
        <v>-1.2610340479193294E-3</v>
      </c>
    </row>
    <row r="63" spans="2:31" x14ac:dyDescent="0.25">
      <c r="W63" s="131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5">
        <f t="shared" si="1"/>
        <v>6.2032990272098409E-3</v>
      </c>
    </row>
    <row r="64" spans="2:31" x14ac:dyDescent="0.25">
      <c r="W64" s="131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5">
        <f t="shared" si="1"/>
        <v>-2.8622295261572006E-2</v>
      </c>
    </row>
    <row r="65" spans="1:31" x14ac:dyDescent="0.25">
      <c r="W65" s="131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5">
        <f t="shared" si="1"/>
        <v>4.2635125842387378E-3</v>
      </c>
    </row>
    <row r="66" spans="1:31" x14ac:dyDescent="0.25">
      <c r="W66" s="131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5">
        <f t="shared" si="1"/>
        <v>-2.3326015367728381E-3</v>
      </c>
    </row>
    <row r="67" spans="1:31" x14ac:dyDescent="0.25">
      <c r="W67" s="131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5" t="e">
        <f>AC67/#REF!-1</f>
        <v>#REF!</v>
      </c>
    </row>
    <row r="68" spans="1:31" x14ac:dyDescent="0.25"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#REF!/AC69-1</f>
        <v>#REF!</v>
      </c>
    </row>
    <row r="69" spans="1:31" x14ac:dyDescent="0.25">
      <c r="W69" s="131"/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2" t="s">
        <v>1</v>
      </c>
      <c r="B76" s="382" t="s">
        <v>2</v>
      </c>
      <c r="C76" s="382" t="s">
        <v>4</v>
      </c>
      <c r="D76" s="384" t="s">
        <v>5</v>
      </c>
      <c r="E76" s="384" t="s">
        <v>94</v>
      </c>
      <c r="F76" s="384" t="s">
        <v>60</v>
      </c>
      <c r="G76" s="382" t="s">
        <v>3</v>
      </c>
      <c r="H76" s="382" t="s">
        <v>6</v>
      </c>
      <c r="I76" s="384" t="s">
        <v>7</v>
      </c>
      <c r="J76" s="384" t="s">
        <v>95</v>
      </c>
      <c r="K76" s="384" t="s">
        <v>61</v>
      </c>
      <c r="L76" s="382" t="s">
        <v>37</v>
      </c>
      <c r="M76" s="382" t="s">
        <v>38</v>
      </c>
    </row>
    <row r="77" spans="1:31" x14ac:dyDescent="0.25">
      <c r="A77" s="385" t="s">
        <v>13</v>
      </c>
      <c r="B77" s="375">
        <v>42485</v>
      </c>
      <c r="C77" s="376">
        <v>80</v>
      </c>
      <c r="D77" s="377">
        <v>49.5</v>
      </c>
      <c r="E77" s="377">
        <v>0</v>
      </c>
      <c r="F77" s="377">
        <f t="shared" ref="F77:F85" si="9">D77*C77+E77</f>
        <v>3960</v>
      </c>
      <c r="G77" s="376"/>
      <c r="H77" s="376"/>
      <c r="I77" s="377"/>
      <c r="J77" s="377"/>
      <c r="K77" s="377"/>
      <c r="L77" s="375"/>
      <c r="M77" s="376"/>
    </row>
    <row r="78" spans="1:31" x14ac:dyDescent="0.25">
      <c r="A78" s="386" t="s">
        <v>71</v>
      </c>
      <c r="B78" s="375">
        <v>42489</v>
      </c>
      <c r="C78" s="376">
        <v>20</v>
      </c>
      <c r="D78" s="377">
        <v>46.95</v>
      </c>
      <c r="E78" s="377">
        <v>0</v>
      </c>
      <c r="F78" s="377">
        <f t="shared" si="9"/>
        <v>939</v>
      </c>
      <c r="G78" s="376"/>
      <c r="H78" s="377"/>
      <c r="I78" s="377"/>
      <c r="J78" s="377"/>
      <c r="K78" s="377"/>
      <c r="L78" s="376"/>
      <c r="M78" s="376"/>
    </row>
    <row r="79" spans="1:31" x14ac:dyDescent="0.25">
      <c r="A79" s="376"/>
      <c r="B79" s="375">
        <v>42489</v>
      </c>
      <c r="C79" s="376">
        <v>50</v>
      </c>
      <c r="D79" s="377">
        <v>45.91</v>
      </c>
      <c r="E79" s="377">
        <v>0</v>
      </c>
      <c r="F79" s="377">
        <f t="shared" si="9"/>
        <v>2295.5</v>
      </c>
      <c r="G79" s="376"/>
      <c r="H79" s="376"/>
      <c r="I79" s="377"/>
      <c r="J79" s="377"/>
      <c r="K79" s="377"/>
      <c r="L79" s="376"/>
      <c r="M79" s="376"/>
    </row>
    <row r="80" spans="1:31" x14ac:dyDescent="0.25">
      <c r="A80" s="376"/>
      <c r="B80" s="375">
        <v>42495</v>
      </c>
      <c r="C80" s="376">
        <v>25</v>
      </c>
      <c r="D80" s="377">
        <v>45</v>
      </c>
      <c r="E80" s="377">
        <v>0</v>
      </c>
      <c r="F80" s="377">
        <f t="shared" si="9"/>
        <v>1125</v>
      </c>
      <c r="G80" s="375">
        <v>42557</v>
      </c>
      <c r="H80" s="376">
        <v>150</v>
      </c>
      <c r="I80" s="377">
        <v>39.28</v>
      </c>
      <c r="J80" s="377">
        <v>0.13</v>
      </c>
      <c r="K80" s="377">
        <f t="shared" ref="K80:K85" si="10">I80*H80-J80</f>
        <v>5891.87</v>
      </c>
      <c r="L80" s="376"/>
      <c r="M80" s="376"/>
    </row>
    <row r="81" spans="1:13" x14ac:dyDescent="0.25">
      <c r="A81" s="376"/>
      <c r="B81" s="375">
        <v>42502</v>
      </c>
      <c r="C81" s="376">
        <v>25</v>
      </c>
      <c r="D81" s="377">
        <v>44.09</v>
      </c>
      <c r="E81" s="377">
        <v>0</v>
      </c>
      <c r="F81" s="377">
        <f t="shared" si="9"/>
        <v>1102.25</v>
      </c>
      <c r="G81" s="375">
        <v>42562</v>
      </c>
      <c r="H81" s="376">
        <v>50</v>
      </c>
      <c r="I81" s="377">
        <v>42.68</v>
      </c>
      <c r="J81" s="377">
        <v>0.05</v>
      </c>
      <c r="K81" s="377">
        <f t="shared" si="10"/>
        <v>2133.9499999999998</v>
      </c>
      <c r="L81" s="376"/>
      <c r="M81" s="376"/>
    </row>
    <row r="82" spans="1:13" x14ac:dyDescent="0.25">
      <c r="A82" s="376"/>
      <c r="B82" s="375">
        <v>42535</v>
      </c>
      <c r="C82" s="376">
        <v>40</v>
      </c>
      <c r="D82" s="377">
        <v>43.19</v>
      </c>
      <c r="E82" s="377">
        <v>0</v>
      </c>
      <c r="F82" s="377">
        <f t="shared" si="9"/>
        <v>1727.6</v>
      </c>
      <c r="G82" s="375">
        <v>42566</v>
      </c>
      <c r="H82" s="376">
        <v>40</v>
      </c>
      <c r="I82" s="377">
        <v>47.51</v>
      </c>
      <c r="J82" s="377">
        <v>0.04</v>
      </c>
      <c r="K82" s="377">
        <f t="shared" si="10"/>
        <v>1900.36</v>
      </c>
      <c r="L82" s="376"/>
      <c r="M82" s="376"/>
    </row>
    <row r="83" spans="1:13" x14ac:dyDescent="0.25">
      <c r="A83" s="376"/>
      <c r="B83" s="375">
        <v>42545</v>
      </c>
      <c r="C83" s="376">
        <v>100</v>
      </c>
      <c r="D83" s="377">
        <v>42.28</v>
      </c>
      <c r="E83" s="377">
        <v>0</v>
      </c>
      <c r="F83" s="377">
        <f t="shared" si="9"/>
        <v>4228</v>
      </c>
      <c r="G83" s="375">
        <v>42587</v>
      </c>
      <c r="H83" s="376">
        <v>210</v>
      </c>
      <c r="I83" s="377">
        <v>47.58</v>
      </c>
      <c r="J83" s="377">
        <v>0.22</v>
      </c>
      <c r="K83" s="377">
        <f t="shared" si="10"/>
        <v>9991.58</v>
      </c>
      <c r="L83" s="376"/>
      <c r="M83" s="376"/>
    </row>
    <row r="84" spans="1:13" x14ac:dyDescent="0.25">
      <c r="A84" s="376"/>
      <c r="B84" s="375">
        <v>42545</v>
      </c>
      <c r="C84" s="376">
        <v>110</v>
      </c>
      <c r="D84" s="377">
        <v>41.12</v>
      </c>
      <c r="E84" s="377">
        <v>0</v>
      </c>
      <c r="F84" s="377">
        <f t="shared" si="9"/>
        <v>4523.2</v>
      </c>
      <c r="G84" s="375">
        <v>42593</v>
      </c>
      <c r="H84" s="376">
        <v>50</v>
      </c>
      <c r="I84" s="377">
        <v>47.35</v>
      </c>
      <c r="J84" s="377">
        <v>0.05</v>
      </c>
      <c r="K84" s="377">
        <f t="shared" si="10"/>
        <v>2367.4499999999998</v>
      </c>
      <c r="L84" s="376"/>
      <c r="M84" s="376"/>
    </row>
    <row r="85" spans="1:13" x14ac:dyDescent="0.25">
      <c r="A85" s="376"/>
      <c r="B85" s="375">
        <v>42557</v>
      </c>
      <c r="C85" s="376">
        <v>150</v>
      </c>
      <c r="D85" s="377">
        <v>38.08</v>
      </c>
      <c r="E85" s="377">
        <v>0</v>
      </c>
      <c r="F85" s="377">
        <f t="shared" si="9"/>
        <v>5712</v>
      </c>
      <c r="G85" s="375">
        <v>42597</v>
      </c>
      <c r="H85" s="376">
        <v>100</v>
      </c>
      <c r="I85" s="377">
        <v>47.89</v>
      </c>
      <c r="J85" s="377">
        <v>0.1</v>
      </c>
      <c r="K85" s="377">
        <f t="shared" si="10"/>
        <v>4788.8999999999996</v>
      </c>
      <c r="L85" s="376"/>
      <c r="M85" s="376"/>
    </row>
    <row r="86" spans="1:13" x14ac:dyDescent="0.25">
      <c r="A86" s="376"/>
      <c r="B86" s="375"/>
      <c r="C86" s="376"/>
      <c r="D86" s="377"/>
      <c r="E86" s="377"/>
      <c r="F86" s="377"/>
      <c r="G86" s="376"/>
      <c r="H86" s="376"/>
      <c r="I86" s="377"/>
      <c r="J86" s="377"/>
      <c r="K86" s="377"/>
      <c r="L86" s="376"/>
      <c r="M86" s="376"/>
    </row>
    <row r="87" spans="1:13" x14ac:dyDescent="0.25">
      <c r="A87" s="376"/>
      <c r="B87" s="376"/>
      <c r="C87" s="376"/>
      <c r="D87" s="377"/>
      <c r="E87" s="377"/>
      <c r="F87" s="377"/>
      <c r="G87" s="376"/>
      <c r="H87" s="376"/>
      <c r="I87" s="377"/>
      <c r="J87" s="377"/>
      <c r="K87" s="377"/>
      <c r="L87" s="376"/>
      <c r="M87" s="376"/>
    </row>
    <row r="88" spans="1:13" x14ac:dyDescent="0.25">
      <c r="A88" s="376"/>
      <c r="B88" s="376"/>
      <c r="C88" s="376"/>
      <c r="D88" s="377"/>
      <c r="E88" s="377"/>
      <c r="F88" s="377"/>
      <c r="G88" s="376"/>
      <c r="H88" s="376"/>
      <c r="I88" s="377"/>
      <c r="J88" s="377"/>
      <c r="K88" s="377"/>
      <c r="L88" s="376"/>
      <c r="M88" s="376"/>
    </row>
    <row r="89" spans="1:13" x14ac:dyDescent="0.25">
      <c r="A89" s="376"/>
      <c r="B89" s="376"/>
      <c r="C89" s="376"/>
      <c r="D89" s="377"/>
      <c r="E89" s="377"/>
      <c r="F89" s="377"/>
      <c r="G89" s="376"/>
      <c r="H89" s="376"/>
      <c r="I89" s="377"/>
      <c r="J89" s="377"/>
      <c r="K89" s="377"/>
      <c r="L89" s="376"/>
      <c r="M89" s="376"/>
    </row>
    <row r="90" spans="1:13" x14ac:dyDescent="0.25">
      <c r="A90" s="376"/>
      <c r="B90" s="376"/>
      <c r="C90" s="376"/>
      <c r="D90" s="377"/>
      <c r="E90" s="377"/>
      <c r="F90" s="377"/>
      <c r="G90" s="376"/>
      <c r="H90" s="376"/>
      <c r="I90" s="377"/>
      <c r="J90" s="377"/>
      <c r="K90" s="377"/>
      <c r="L90" s="376"/>
      <c r="M90" s="376"/>
    </row>
    <row r="91" spans="1:13" x14ac:dyDescent="0.25">
      <c r="A91" s="376"/>
      <c r="B91" s="376"/>
      <c r="C91" s="376"/>
      <c r="D91" s="377"/>
      <c r="E91" s="377"/>
      <c r="F91" s="377"/>
      <c r="G91" s="376"/>
      <c r="H91" s="376"/>
      <c r="I91" s="377"/>
      <c r="J91" s="377"/>
      <c r="K91" s="377"/>
      <c r="L91" s="376"/>
      <c r="M91" s="376"/>
    </row>
    <row r="92" spans="1:13" x14ac:dyDescent="0.25">
      <c r="A92" s="376"/>
      <c r="B92" s="376"/>
      <c r="C92" s="376"/>
      <c r="D92" s="377"/>
      <c r="E92" s="377"/>
      <c r="F92" s="377"/>
      <c r="G92" s="376"/>
      <c r="H92" s="376"/>
      <c r="I92" s="377"/>
      <c r="J92" s="377"/>
      <c r="K92" s="377"/>
      <c r="L92" s="376"/>
      <c r="M92" s="376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5" t="s">
        <v>195</v>
      </c>
      <c r="B94" s="466"/>
      <c r="C94" s="467">
        <f>SumByColor($A$19,C77:C92)</f>
        <v>0</v>
      </c>
      <c r="D94" s="467"/>
      <c r="E94" s="467"/>
      <c r="F94" s="468">
        <f>SumByColor($A$19,F77:F92)</f>
        <v>0</v>
      </c>
      <c r="G94" s="467"/>
      <c r="H94" s="467">
        <f>SumByColor($A$19,H78:H92)</f>
        <v>0</v>
      </c>
      <c r="I94" s="467"/>
      <c r="J94" s="467"/>
      <c r="K94" s="468">
        <f>SumByColor($A$19,K78:K92)</f>
        <v>0</v>
      </c>
      <c r="L94" s="467"/>
      <c r="M94" s="46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200</v>
      </c>
      <c r="W2" s="131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5">
        <f>AC2/AC3-1</f>
        <v>1.3678189505097471E-3</v>
      </c>
    </row>
    <row r="3" spans="1:31" x14ac:dyDescent="0.25">
      <c r="A3" s="23" t="s">
        <v>71</v>
      </c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66.430000000000007</v>
      </c>
      <c r="T3" s="1"/>
      <c r="W3" s="131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5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66.430000000000007</v>
      </c>
      <c r="R4" s="516">
        <v>-4.8999999999999998E-3</v>
      </c>
      <c r="T4" s="160"/>
      <c r="U4" s="1"/>
      <c r="W4" s="131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5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5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5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2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1">
        <v>42824</v>
      </c>
      <c r="X7" s="10" t="s">
        <v>229</v>
      </c>
      <c r="Y7" s="10"/>
      <c r="Z7" s="10"/>
      <c r="AA7" s="10"/>
      <c r="AB7" s="94"/>
      <c r="AC7" s="10"/>
      <c r="AD7" s="2">
        <f t="shared" si="0"/>
        <v>0</v>
      </c>
      <c r="AE7" s="135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5">
        <f t="shared" si="1"/>
        <v>-1.8348623853211565E-3</v>
      </c>
    </row>
    <row r="9" spans="1:31" x14ac:dyDescent="0.25"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5">
        <f t="shared" si="1"/>
        <v>-6.1124694376524236E-4</v>
      </c>
    </row>
    <row r="10" spans="1:31" x14ac:dyDescent="0.25">
      <c r="H10" s="71"/>
      <c r="O10" s="11" t="s">
        <v>210</v>
      </c>
      <c r="P10" s="34"/>
      <c r="Q10" s="2">
        <f>M67</f>
        <v>1056.739999999998</v>
      </c>
      <c r="W10" s="131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5">
        <f t="shared" si="1"/>
        <v>1.2501547221190679E-2</v>
      </c>
    </row>
    <row r="11" spans="1:31" x14ac:dyDescent="0.25">
      <c r="H11" s="71"/>
      <c r="O11" s="11" t="s">
        <v>176</v>
      </c>
      <c r="P11" s="34"/>
      <c r="Q11" s="135">
        <f>IF(U58="N/A (N/A)", 0, VALUE(TRIM(CLEAN(MID(U58, FIND("(", U58)+1, 5)))))</f>
        <v>2.1999999999999999E-2</v>
      </c>
      <c r="W11" s="131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5">
        <f t="shared" si="1"/>
        <v>1.6117034465659152E-3</v>
      </c>
    </row>
    <row r="12" spans="1:31" x14ac:dyDescent="0.25">
      <c r="H12" s="71"/>
      <c r="W12" s="131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5">
        <f t="shared" si="1"/>
        <v>-6.5278975243256987E-3</v>
      </c>
    </row>
    <row r="13" spans="1:31" x14ac:dyDescent="0.25">
      <c r="H13" s="71"/>
      <c r="W13" s="131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5">
        <f t="shared" si="1"/>
        <v>2.345679012345725E-3</v>
      </c>
    </row>
    <row r="14" spans="1:31" x14ac:dyDescent="0.25">
      <c r="H14" s="71"/>
      <c r="W14" s="131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5">
        <f t="shared" si="1"/>
        <v>-1.123046875E-2</v>
      </c>
    </row>
    <row r="15" spans="1:31" x14ac:dyDescent="0.25">
      <c r="H15" s="71"/>
      <c r="W15" s="131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5">
        <f t="shared" si="1"/>
        <v>-8.9523348657148949E-3</v>
      </c>
    </row>
    <row r="16" spans="1:31" x14ac:dyDescent="0.25">
      <c r="H16" s="71"/>
      <c r="W16" s="131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5">
        <f t="shared" si="1"/>
        <v>3.3988832240834377E-3</v>
      </c>
    </row>
    <row r="17" spans="1:31" x14ac:dyDescent="0.25">
      <c r="H17" s="71"/>
      <c r="W17" s="131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5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1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5">
        <f t="shared" si="1"/>
        <v>1.4485696895922162E-2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5">
        <f t="shared" si="1"/>
        <v>6.0901339829499967E-4</v>
      </c>
    </row>
    <row r="20" spans="1:31" x14ac:dyDescent="0.25">
      <c r="W20" s="131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5">
        <f t="shared" si="1"/>
        <v>6.2507660252479891E-3</v>
      </c>
    </row>
    <row r="21" spans="1:31" x14ac:dyDescent="0.25">
      <c r="W21" s="131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5">
        <f t="shared" si="1"/>
        <v>1.2271444349001293E-3</v>
      </c>
    </row>
    <row r="22" spans="1:31" x14ac:dyDescent="0.25">
      <c r="W22" s="131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5">
        <f t="shared" si="1"/>
        <v>9.0391282813273577E-3</v>
      </c>
    </row>
    <row r="23" spans="1:31" x14ac:dyDescent="0.25">
      <c r="W23" s="131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5">
        <f t="shared" si="1"/>
        <v>-1.2380834468228574E-4</v>
      </c>
    </row>
    <row r="24" spans="1:31" x14ac:dyDescent="0.25">
      <c r="B24" s="375" t="s">
        <v>113</v>
      </c>
      <c r="C24" s="376" t="s">
        <v>146</v>
      </c>
      <c r="D24" s="377" t="s">
        <v>145</v>
      </c>
      <c r="E24" s="377" t="s">
        <v>147</v>
      </c>
      <c r="F24" s="377" t="s">
        <v>65</v>
      </c>
      <c r="G24" s="377" t="s">
        <v>151</v>
      </c>
      <c r="H24" s="378" t="s">
        <v>88</v>
      </c>
      <c r="I24" s="377" t="s">
        <v>154</v>
      </c>
      <c r="W24" s="131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5">
        <f t="shared" si="1"/>
        <v>-5.9076923076923915E-3</v>
      </c>
    </row>
    <row r="25" spans="1:31" x14ac:dyDescent="0.25">
      <c r="A25" s="4"/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5">
        <f t="shared" si="1"/>
        <v>-1.3956310679611672E-2</v>
      </c>
    </row>
    <row r="26" spans="1:31" x14ac:dyDescent="0.25">
      <c r="A26" s="4"/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5">
        <f t="shared" si="1"/>
        <v>1.3031718711581153E-2</v>
      </c>
    </row>
    <row r="27" spans="1:31" x14ac:dyDescent="0.25">
      <c r="A27" s="4"/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5">
        <f t="shared" si="1"/>
        <v>-3.1862745098037992E-3</v>
      </c>
    </row>
    <row r="28" spans="1:31" x14ac:dyDescent="0.25">
      <c r="A28" s="4"/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5">
        <f t="shared" si="1"/>
        <v>8.4033613445377853E-3</v>
      </c>
    </row>
    <row r="29" spans="1:31" x14ac:dyDescent="0.25">
      <c r="A29" s="4"/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5">
        <f t="shared" si="1"/>
        <v>-1.3651877133105894E-2</v>
      </c>
    </row>
    <row r="30" spans="1:31" x14ac:dyDescent="0.25">
      <c r="A30" s="4"/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5">
        <f t="shared" si="1"/>
        <v>4.2844901456726703E-3</v>
      </c>
    </row>
    <row r="31" spans="1:31" x14ac:dyDescent="0.25">
      <c r="A31" s="4"/>
      <c r="B31" s="190"/>
      <c r="C31" s="10"/>
      <c r="D31" s="40"/>
      <c r="E31" s="40"/>
      <c r="F31" s="40"/>
      <c r="G31" s="40"/>
      <c r="H31" s="228"/>
      <c r="I31" s="40"/>
      <c r="W31" s="131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5">
        <f t="shared" si="1"/>
        <v>5.0442913385826404E-3</v>
      </c>
    </row>
    <row r="32" spans="1:31" x14ac:dyDescent="0.25">
      <c r="B32" s="190"/>
      <c r="C32" s="10"/>
      <c r="D32" s="40"/>
      <c r="E32" s="40"/>
      <c r="F32" s="40"/>
      <c r="G32" s="40"/>
      <c r="H32" s="228"/>
      <c r="I32" s="40"/>
      <c r="W32" s="131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5">
        <f t="shared" si="1"/>
        <v>7.9365079365079083E-3</v>
      </c>
    </row>
    <row r="33" spans="2:31" x14ac:dyDescent="0.25">
      <c r="B33" s="190"/>
      <c r="C33" s="10"/>
      <c r="D33" s="40"/>
      <c r="E33" s="40"/>
      <c r="F33" s="40"/>
      <c r="G33" s="40"/>
      <c r="H33" s="228"/>
      <c r="I33" s="40"/>
      <c r="W33" s="131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5">
        <f t="shared" si="1"/>
        <v>-3.0906168871306372E-3</v>
      </c>
    </row>
    <row r="34" spans="2:31" x14ac:dyDescent="0.25">
      <c r="B34" s="190"/>
      <c r="C34" s="10"/>
      <c r="D34" s="40"/>
      <c r="E34" s="40"/>
      <c r="F34" s="40"/>
      <c r="G34" s="40"/>
      <c r="H34" s="228"/>
      <c r="I34" s="40"/>
      <c r="W34" s="131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5">
        <f t="shared" si="1"/>
        <v>7.7239317304098609E-3</v>
      </c>
    </row>
    <row r="35" spans="2:31" x14ac:dyDescent="0.25">
      <c r="B35" s="190"/>
      <c r="C35" s="10"/>
      <c r="D35" s="40"/>
      <c r="E35" s="40"/>
      <c r="F35" s="40"/>
      <c r="G35" s="40"/>
      <c r="H35" s="228"/>
      <c r="I35" s="40"/>
      <c r="W35" s="131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5">
        <f t="shared" si="1"/>
        <v>5.8897243107769448E-3</v>
      </c>
    </row>
    <row r="36" spans="2:31" x14ac:dyDescent="0.25">
      <c r="B36" s="190"/>
      <c r="C36" s="10"/>
      <c r="D36" s="40"/>
      <c r="E36" s="40"/>
      <c r="F36" s="40"/>
      <c r="G36" s="40"/>
      <c r="H36" s="228"/>
      <c r="I36" s="40"/>
      <c r="W36" s="131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5">
        <f t="shared" si="1"/>
        <v>-2.2505626406602586E-3</v>
      </c>
    </row>
    <row r="37" spans="2:31" x14ac:dyDescent="0.25">
      <c r="B37" s="190"/>
      <c r="C37" s="10"/>
      <c r="D37" s="40"/>
      <c r="E37" s="40"/>
      <c r="F37" s="40"/>
      <c r="G37" s="40"/>
      <c r="H37" s="228"/>
      <c r="I37" s="40"/>
      <c r="W37" s="131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5">
        <f t="shared" si="1"/>
        <v>1.9502868068833612E-2</v>
      </c>
    </row>
    <row r="38" spans="2:31" x14ac:dyDescent="0.25">
      <c r="B38" s="190"/>
      <c r="C38" s="10"/>
      <c r="D38" s="40"/>
      <c r="E38" s="40"/>
      <c r="F38" s="40"/>
      <c r="G38" s="40"/>
      <c r="H38" s="228"/>
      <c r="I38" s="40"/>
      <c r="W38" s="131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5">
        <f t="shared" si="1"/>
        <v>1.0432766615146916E-2</v>
      </c>
    </row>
    <row r="39" spans="2:31" x14ac:dyDescent="0.25">
      <c r="B39" s="190"/>
      <c r="C39" s="10"/>
      <c r="D39" s="40"/>
      <c r="E39" s="40"/>
      <c r="F39" s="40"/>
      <c r="G39" s="40"/>
      <c r="H39" s="228"/>
      <c r="I39" s="40"/>
      <c r="W39" s="131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5">
        <f t="shared" si="1"/>
        <v>8.5736554949336075E-3</v>
      </c>
    </row>
    <row r="40" spans="2:31" ht="20.25" thickBot="1" x14ac:dyDescent="0.35">
      <c r="B40" s="190"/>
      <c r="C40" s="10"/>
      <c r="D40" s="40"/>
      <c r="E40" s="40"/>
      <c r="F40" s="40"/>
      <c r="G40" s="40"/>
      <c r="H40" s="228"/>
      <c r="I40" s="40"/>
      <c r="O40" s="716" t="s">
        <v>78</v>
      </c>
      <c r="P40" s="716"/>
      <c r="W40" s="131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5">
        <f t="shared" si="1"/>
        <v>-6.490977541216969E-4</v>
      </c>
    </row>
    <row r="41" spans="2:31" ht="15.75" thickTop="1" x14ac:dyDescent="0.25">
      <c r="B41" s="190"/>
      <c r="C41" s="10"/>
      <c r="D41" s="40"/>
      <c r="E41" s="40"/>
      <c r="F41" s="40"/>
      <c r="G41" s="40"/>
      <c r="H41" s="228"/>
      <c r="I41" s="40"/>
      <c r="O41" s="82">
        <v>1.1000000000000001</v>
      </c>
      <c r="P41" s="82">
        <f>O41*$Q$4</f>
        <v>73.073000000000008</v>
      </c>
      <c r="Q41" s="2"/>
      <c r="W41" s="131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5">
        <f t="shared" si="1"/>
        <v>-4.5231325924011134E-3</v>
      </c>
    </row>
    <row r="42" spans="2:31" ht="20.25" thickBot="1" x14ac:dyDescent="0.35">
      <c r="B42" s="190"/>
      <c r="C42" s="10"/>
      <c r="D42" s="40"/>
      <c r="E42" s="40"/>
      <c r="F42" s="40"/>
      <c r="G42" s="40"/>
      <c r="H42" s="228"/>
      <c r="I42" s="40"/>
      <c r="O42" s="82">
        <v>1.0900000000000001</v>
      </c>
      <c r="P42" s="82">
        <f t="shared" ref="P42:P61" si="2">O42*$Q$4</f>
        <v>72.40870000000001</v>
      </c>
      <c r="Q42" s="2"/>
      <c r="T42" s="90" t="s">
        <v>112</v>
      </c>
      <c r="W42" s="131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5">
        <f t="shared" si="1"/>
        <v>6.4657959394787134E-4</v>
      </c>
    </row>
    <row r="43" spans="2:31" ht="15.75" thickTop="1" x14ac:dyDescent="0.25">
      <c r="B43" s="190"/>
      <c r="C43" s="10"/>
      <c r="D43" s="40"/>
      <c r="E43" s="40"/>
      <c r="F43" s="40"/>
      <c r="G43" s="40"/>
      <c r="H43" s="228"/>
      <c r="I43" s="40"/>
      <c r="O43" s="82">
        <v>1.08</v>
      </c>
      <c r="P43" s="82">
        <f t="shared" si="2"/>
        <v>71.744400000000013</v>
      </c>
      <c r="Q43" s="2"/>
      <c r="T43" s="126" t="s">
        <v>97</v>
      </c>
      <c r="U43" s="97">
        <v>80.42</v>
      </c>
      <c r="W43" s="131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5">
        <f t="shared" si="1"/>
        <v>2.3560555923229698E-2</v>
      </c>
    </row>
    <row r="44" spans="2:31" x14ac:dyDescent="0.25">
      <c r="B44" s="190"/>
      <c r="C44" s="10"/>
      <c r="D44" s="40"/>
      <c r="E44" s="40"/>
      <c r="F44" s="40"/>
      <c r="G44" s="40"/>
      <c r="H44" s="228"/>
      <c r="I44" s="40"/>
      <c r="O44" s="82">
        <v>1.07</v>
      </c>
      <c r="P44" s="82">
        <f t="shared" si="2"/>
        <v>71.080100000000016</v>
      </c>
      <c r="Q44" s="2"/>
      <c r="T44" s="92" t="s">
        <v>98</v>
      </c>
      <c r="U44" s="87">
        <v>80.680000000000007</v>
      </c>
      <c r="W44" s="131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5">
        <f t="shared" si="1"/>
        <v>1.4638732205210836E-2</v>
      </c>
    </row>
    <row r="45" spans="2:31" x14ac:dyDescent="0.25">
      <c r="B45" s="190"/>
      <c r="C45" s="10"/>
      <c r="D45" s="40"/>
      <c r="E45" s="40"/>
      <c r="F45" s="40"/>
      <c r="G45" s="40"/>
      <c r="H45" s="228"/>
      <c r="I45" s="40"/>
      <c r="O45" s="82">
        <v>1.06</v>
      </c>
      <c r="P45" s="82">
        <f t="shared" si="2"/>
        <v>70.415800000000004</v>
      </c>
      <c r="Q45" s="2"/>
      <c r="T45" s="92" t="s">
        <v>99</v>
      </c>
      <c r="U45" s="87" t="s">
        <v>128</v>
      </c>
      <c r="W45" s="131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5">
        <f t="shared" si="1"/>
        <v>5.8084560313385047E-3</v>
      </c>
    </row>
    <row r="46" spans="2:31" x14ac:dyDescent="0.25">
      <c r="B46" s="190"/>
      <c r="C46" s="10"/>
      <c r="D46" s="40"/>
      <c r="E46" s="40"/>
      <c r="F46" s="40"/>
      <c r="G46" s="40"/>
      <c r="H46" s="228"/>
      <c r="I46" s="40"/>
      <c r="O46" s="82">
        <v>1.05</v>
      </c>
      <c r="P46" s="82">
        <f t="shared" si="2"/>
        <v>69.751500000000007</v>
      </c>
      <c r="Q46" s="2"/>
      <c r="T46" s="92" t="s">
        <v>100</v>
      </c>
      <c r="U46" s="87" t="s">
        <v>128</v>
      </c>
      <c r="W46" s="131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5">
        <f t="shared" si="1"/>
        <v>-1.2143047771550508E-2</v>
      </c>
    </row>
    <row r="47" spans="2:31" x14ac:dyDescent="0.25">
      <c r="B47" s="190"/>
      <c r="C47" s="10"/>
      <c r="D47" s="40"/>
      <c r="E47" s="40"/>
      <c r="F47" s="40"/>
      <c r="G47" s="40"/>
      <c r="H47" s="228"/>
      <c r="I47" s="40"/>
      <c r="O47" s="82">
        <v>1.04</v>
      </c>
      <c r="P47" s="82">
        <f t="shared" si="2"/>
        <v>69.08720000000001</v>
      </c>
      <c r="Q47" s="2"/>
      <c r="T47" s="92" t="s">
        <v>101</v>
      </c>
      <c r="U47" s="87">
        <v>82.86</v>
      </c>
      <c r="W47" s="131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5">
        <f t="shared" si="1"/>
        <v>5.2313883299799357E-3</v>
      </c>
    </row>
    <row r="48" spans="2:31" x14ac:dyDescent="0.25">
      <c r="B48" s="190"/>
      <c r="C48" s="10"/>
      <c r="D48" s="40"/>
      <c r="E48" s="40"/>
      <c r="F48" s="40"/>
      <c r="G48" s="40"/>
      <c r="H48" s="228"/>
      <c r="I48" s="40"/>
      <c r="O48" s="82">
        <v>1.03</v>
      </c>
      <c r="P48" s="82">
        <f t="shared" si="2"/>
        <v>68.422900000000013</v>
      </c>
      <c r="Q48" s="2"/>
      <c r="T48" s="92" t="s">
        <v>102</v>
      </c>
      <c r="U48" s="87">
        <v>0.88072099999999998</v>
      </c>
      <c r="W48" s="131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5">
        <f t="shared" si="1"/>
        <v>2.4179145487017273E-2</v>
      </c>
    </row>
    <row r="49" spans="2:31" x14ac:dyDescent="0.25">
      <c r="B49" s="190"/>
      <c r="C49" s="10"/>
      <c r="D49" s="40"/>
      <c r="E49" s="40"/>
      <c r="F49" s="40"/>
      <c r="G49" s="40"/>
      <c r="H49" s="228"/>
      <c r="I49" s="40"/>
      <c r="O49" s="82">
        <v>1.02</v>
      </c>
      <c r="P49" s="82">
        <f t="shared" si="2"/>
        <v>67.758600000000001</v>
      </c>
      <c r="Q49" s="2"/>
      <c r="T49" s="92" t="s">
        <v>103</v>
      </c>
      <c r="U49" s="87" t="s">
        <v>704</v>
      </c>
      <c r="W49" s="131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5">
        <f t="shared" si="1"/>
        <v>9.9902872207577875E-3</v>
      </c>
    </row>
    <row r="50" spans="2:31" x14ac:dyDescent="0.25">
      <c r="B50" s="190"/>
      <c r="C50" s="10"/>
      <c r="D50" s="40"/>
      <c r="E50" s="40"/>
      <c r="F50" s="40"/>
      <c r="G50" s="40"/>
      <c r="H50" s="228"/>
      <c r="I50" s="40"/>
      <c r="O50" s="82">
        <v>1.01</v>
      </c>
      <c r="P50" s="82">
        <f t="shared" si="2"/>
        <v>67.094300000000004</v>
      </c>
      <c r="Q50" s="2"/>
      <c r="T50" s="92"/>
      <c r="U50" s="87"/>
      <c r="W50" s="131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5">
        <f t="shared" si="1"/>
        <v>-8.5293713027927431E-3</v>
      </c>
    </row>
    <row r="51" spans="2:31" x14ac:dyDescent="0.25">
      <c r="B51" s="190"/>
      <c r="C51" s="10"/>
      <c r="D51" s="40"/>
      <c r="E51" s="40"/>
      <c r="F51" s="40"/>
      <c r="G51" s="40"/>
      <c r="H51" s="228"/>
      <c r="I51" s="40"/>
      <c r="O51" s="82">
        <v>1</v>
      </c>
      <c r="P51" s="82">
        <f t="shared" si="2"/>
        <v>66.430000000000007</v>
      </c>
      <c r="Q51" s="2"/>
      <c r="T51" s="92" t="s">
        <v>104</v>
      </c>
      <c r="U51" s="87" t="s">
        <v>705</v>
      </c>
      <c r="W51" s="131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5">
        <f t="shared" si="1"/>
        <v>-3.6580516898608417E-2</v>
      </c>
    </row>
    <row r="52" spans="2:31" x14ac:dyDescent="0.25">
      <c r="B52" s="190"/>
      <c r="C52" s="10"/>
      <c r="D52" s="40"/>
      <c r="E52" s="40"/>
      <c r="F52" s="40"/>
      <c r="G52" s="40"/>
      <c r="H52" s="228"/>
      <c r="I52" s="40"/>
      <c r="O52" s="82">
        <v>0.99</v>
      </c>
      <c r="P52" s="82">
        <f t="shared" si="2"/>
        <v>65.76570000000001</v>
      </c>
      <c r="Q52" s="2"/>
      <c r="T52" s="92" t="s">
        <v>105</v>
      </c>
      <c r="U52" s="87" t="s">
        <v>341</v>
      </c>
      <c r="W52" s="131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5">
        <f t="shared" si="1"/>
        <v>1.6298491379310498E-2</v>
      </c>
    </row>
    <row r="53" spans="2:31" x14ac:dyDescent="0.25">
      <c r="B53" s="190"/>
      <c r="C53" s="10"/>
      <c r="D53" s="40"/>
      <c r="E53" s="40"/>
      <c r="F53" s="40"/>
      <c r="G53" s="40"/>
      <c r="H53" s="228"/>
      <c r="I53" s="40"/>
      <c r="O53" s="82">
        <v>0.98</v>
      </c>
      <c r="P53" s="82">
        <f t="shared" si="2"/>
        <v>65.101400000000012</v>
      </c>
      <c r="Q53" s="2"/>
      <c r="T53" s="92" t="s">
        <v>106</v>
      </c>
      <c r="U53" s="89">
        <v>1112969</v>
      </c>
      <c r="W53" s="131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5">
        <f t="shared" si="1"/>
        <v>-9.4199973085729027E-4</v>
      </c>
    </row>
    <row r="54" spans="2:31" x14ac:dyDescent="0.25">
      <c r="B54" s="190"/>
      <c r="C54" s="10"/>
      <c r="D54" s="40"/>
      <c r="E54" s="40"/>
      <c r="F54" s="40"/>
      <c r="G54" s="40"/>
      <c r="H54" s="228"/>
      <c r="I54" s="40"/>
      <c r="O54" s="82">
        <v>0.97</v>
      </c>
      <c r="P54" s="82">
        <f t="shared" si="2"/>
        <v>64.437100000000001</v>
      </c>
      <c r="T54" s="92" t="s">
        <v>109</v>
      </c>
      <c r="U54" s="89">
        <v>2046760</v>
      </c>
      <c r="W54" s="131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5">
        <f t="shared" si="1"/>
        <v>-4.1543822031627764E-3</v>
      </c>
    </row>
    <row r="55" spans="2:31" x14ac:dyDescent="0.25">
      <c r="B55" s="190"/>
      <c r="C55" s="10"/>
      <c r="D55" s="40"/>
      <c r="E55" s="40"/>
      <c r="F55" s="40"/>
      <c r="G55" s="40"/>
      <c r="H55" s="228"/>
      <c r="I55" s="40"/>
      <c r="O55" s="82">
        <v>0.96</v>
      </c>
      <c r="P55" s="82">
        <f t="shared" si="2"/>
        <v>63.772800000000004</v>
      </c>
      <c r="T55" s="92" t="s">
        <v>107</v>
      </c>
      <c r="U55" s="87" t="s">
        <v>706</v>
      </c>
      <c r="W55" s="131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5">
        <f t="shared" si="1"/>
        <v>-6.9204152249134898E-3</v>
      </c>
    </row>
    <row r="56" spans="2:31" x14ac:dyDescent="0.25">
      <c r="B56" s="190"/>
      <c r="C56" s="10"/>
      <c r="D56" s="40"/>
      <c r="E56" s="40"/>
      <c r="F56" s="40"/>
      <c r="G56" s="40"/>
      <c r="H56" s="228"/>
      <c r="I56" s="40"/>
      <c r="O56" s="82">
        <v>0.95</v>
      </c>
      <c r="P56" s="82">
        <f t="shared" si="2"/>
        <v>63.108500000000006</v>
      </c>
      <c r="T56" s="92" t="s">
        <v>110</v>
      </c>
      <c r="U56" s="87">
        <v>19.39</v>
      </c>
      <c r="W56" s="131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5">
        <f t="shared" si="1"/>
        <v>-3.3160896670646478E-3</v>
      </c>
    </row>
    <row r="57" spans="2:31" x14ac:dyDescent="0.25">
      <c r="B57" s="190"/>
      <c r="C57" s="10"/>
      <c r="D57" s="40"/>
      <c r="E57" s="40"/>
      <c r="F57" s="40"/>
      <c r="G57" s="40"/>
      <c r="H57" s="228"/>
      <c r="I57" s="40"/>
      <c r="O57" s="82">
        <v>0.94</v>
      </c>
      <c r="P57" s="82">
        <f t="shared" si="2"/>
        <v>62.444200000000002</v>
      </c>
      <c r="T57" s="92" t="s">
        <v>111</v>
      </c>
      <c r="U57" s="87">
        <v>4.1500000000000004</v>
      </c>
      <c r="W57" s="131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5">
        <f t="shared" si="1"/>
        <v>8.2920957603318524E-3</v>
      </c>
    </row>
    <row r="58" spans="2:31" x14ac:dyDescent="0.25">
      <c r="B58" s="190"/>
      <c r="C58" s="10"/>
      <c r="D58" s="40"/>
      <c r="E58" s="40"/>
      <c r="F58" s="40"/>
      <c r="G58" s="40"/>
      <c r="H58" s="228"/>
      <c r="I58" s="40"/>
      <c r="O58" s="82">
        <v>0.93</v>
      </c>
      <c r="P58" s="82">
        <f t="shared" si="2"/>
        <v>61.779900000000012</v>
      </c>
      <c r="T58" s="92" t="s">
        <v>108</v>
      </c>
      <c r="U58" s="87" t="s">
        <v>595</v>
      </c>
      <c r="W58" s="131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5">
        <f t="shared" si="1"/>
        <v>2.4131921169057158E-3</v>
      </c>
    </row>
    <row r="59" spans="2:31" x14ac:dyDescent="0.25">
      <c r="B59" s="190"/>
      <c r="C59" s="10"/>
      <c r="D59" s="40"/>
      <c r="E59" s="40"/>
      <c r="F59" s="40"/>
      <c r="G59" s="40"/>
      <c r="H59" s="228"/>
      <c r="I59" s="40"/>
      <c r="O59" s="82">
        <v>0.92</v>
      </c>
      <c r="P59" s="82">
        <f t="shared" si="2"/>
        <v>61.115600000000008</v>
      </c>
      <c r="W59" s="131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5">
        <f t="shared" si="1"/>
        <v>1.0978584982380024E-2</v>
      </c>
    </row>
    <row r="60" spans="2:31" x14ac:dyDescent="0.25">
      <c r="B60" s="190"/>
      <c r="C60" s="10"/>
      <c r="D60" s="40"/>
      <c r="E60" s="40"/>
      <c r="F60" s="40"/>
      <c r="G60" s="40"/>
      <c r="H60" s="228"/>
      <c r="I60" s="40"/>
      <c r="O60" s="82">
        <v>0.91</v>
      </c>
      <c r="P60" s="82">
        <f t="shared" si="2"/>
        <v>60.45130000000001</v>
      </c>
      <c r="W60" s="131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5">
        <f t="shared" si="1"/>
        <v>6.2738679759957172E-3</v>
      </c>
    </row>
    <row r="61" spans="2:31" x14ac:dyDescent="0.25">
      <c r="B61" s="190"/>
      <c r="C61" s="10"/>
      <c r="D61" s="40"/>
      <c r="E61" s="40"/>
      <c r="F61" s="40"/>
      <c r="G61" s="40"/>
      <c r="H61" s="228"/>
      <c r="I61" s="40"/>
      <c r="O61" s="82">
        <v>0.9</v>
      </c>
      <c r="P61" s="82">
        <f t="shared" si="2"/>
        <v>59.787000000000006</v>
      </c>
      <c r="W61" s="131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5">
        <f t="shared" si="1"/>
        <v>-1.9917123379227464E-2</v>
      </c>
    </row>
    <row r="62" spans="2:31" x14ac:dyDescent="0.25">
      <c r="B62" s="190"/>
      <c r="C62" s="10"/>
      <c r="D62" s="40"/>
      <c r="E62" s="40"/>
      <c r="F62" s="40"/>
      <c r="G62" s="40"/>
      <c r="H62" s="228"/>
      <c r="I62" s="40"/>
      <c r="W62" s="131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5">
        <f t="shared" si="1"/>
        <v>6.1869535978480439E-3</v>
      </c>
    </row>
    <row r="63" spans="2:31" x14ac:dyDescent="0.25">
      <c r="B63" s="190"/>
      <c r="C63" s="10"/>
      <c r="D63" s="40"/>
      <c r="E63" s="40"/>
      <c r="F63" s="40"/>
      <c r="G63" s="40"/>
      <c r="H63" s="228"/>
      <c r="I63" s="40"/>
      <c r="W63" s="131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5">
        <f t="shared" si="1"/>
        <v>-7.6081153230113108E-3</v>
      </c>
    </row>
    <row r="64" spans="2:31" x14ac:dyDescent="0.25">
      <c r="B64" s="190"/>
      <c r="C64" s="10"/>
      <c r="D64" s="40"/>
      <c r="E64" s="40"/>
      <c r="F64" s="40"/>
      <c r="G64" s="40"/>
      <c r="H64" s="228"/>
      <c r="I64" s="40"/>
      <c r="W64" s="131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5">
        <f t="shared" si="1"/>
        <v>1.1202591442839749E-2</v>
      </c>
    </row>
    <row r="65" spans="1:31" x14ac:dyDescent="0.25">
      <c r="B65" s="190"/>
      <c r="C65" s="10"/>
      <c r="D65" s="40"/>
      <c r="E65" s="40"/>
      <c r="F65" s="40"/>
      <c r="G65" s="40"/>
      <c r="H65" s="228"/>
      <c r="I65" s="40"/>
      <c r="W65" s="131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5">
        <f t="shared" si="1"/>
        <v>-1.5022600372241346E-2</v>
      </c>
    </row>
    <row r="66" spans="1:31" x14ac:dyDescent="0.25">
      <c r="B66" s="190"/>
      <c r="C66" s="10"/>
      <c r="D66" s="40"/>
      <c r="E66" s="40"/>
      <c r="F66" s="40"/>
      <c r="G66" s="40"/>
      <c r="H66" s="228"/>
      <c r="I66" s="40"/>
      <c r="W66" s="131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5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1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5" t="e">
        <f>AC67/#REF!-1</f>
        <v>#REF!</v>
      </c>
    </row>
    <row r="68" spans="1:31" x14ac:dyDescent="0.25">
      <c r="A68" s="382" t="s">
        <v>1</v>
      </c>
      <c r="B68" s="382" t="s">
        <v>2</v>
      </c>
      <c r="C68" s="382" t="s">
        <v>4</v>
      </c>
      <c r="D68" s="384" t="s">
        <v>5</v>
      </c>
      <c r="E68" s="384" t="s">
        <v>94</v>
      </c>
      <c r="F68" s="384" t="s">
        <v>60</v>
      </c>
      <c r="G68" s="382" t="s">
        <v>3</v>
      </c>
      <c r="H68" s="382" t="s">
        <v>6</v>
      </c>
      <c r="I68" s="384" t="s">
        <v>7</v>
      </c>
      <c r="J68" s="384" t="s">
        <v>95</v>
      </c>
      <c r="K68" s="384" t="s">
        <v>61</v>
      </c>
      <c r="L68" s="382" t="s">
        <v>37</v>
      </c>
      <c r="M68" s="382" t="s">
        <v>38</v>
      </c>
      <c r="W68" s="131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5" t="e">
        <f>#REF!/AC69-1</f>
        <v>#REF!</v>
      </c>
    </row>
    <row r="69" spans="1:31" x14ac:dyDescent="0.25">
      <c r="A69" s="385" t="s">
        <v>52</v>
      </c>
      <c r="B69" s="375">
        <v>42488</v>
      </c>
      <c r="C69" s="376">
        <v>30</v>
      </c>
      <c r="D69" s="377">
        <v>79.349999999999994</v>
      </c>
      <c r="E69" s="377">
        <v>0</v>
      </c>
      <c r="F69" s="377">
        <f>D69*C69+E69</f>
        <v>2380.5</v>
      </c>
      <c r="G69" s="375">
        <v>42521</v>
      </c>
      <c r="H69" s="380">
        <v>25</v>
      </c>
      <c r="I69" s="377">
        <v>79.05</v>
      </c>
      <c r="J69" s="377">
        <v>0.04</v>
      </c>
      <c r="K69" s="377">
        <f>I69*H69-J69</f>
        <v>1976.21</v>
      </c>
      <c r="L69" s="375">
        <v>42566</v>
      </c>
      <c r="M69" s="377">
        <v>33.67</v>
      </c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1:31" x14ac:dyDescent="0.25">
      <c r="A70" s="386" t="s">
        <v>71</v>
      </c>
      <c r="B70" s="375">
        <v>42495</v>
      </c>
      <c r="C70" s="376">
        <v>20</v>
      </c>
      <c r="D70" s="377">
        <v>76.25</v>
      </c>
      <c r="E70" s="377">
        <v>0</v>
      </c>
      <c r="F70" s="377">
        <f>D70*C70+E70</f>
        <v>1525</v>
      </c>
      <c r="G70" s="375">
        <v>42552</v>
      </c>
      <c r="H70" s="380">
        <v>25</v>
      </c>
      <c r="I70" s="377">
        <v>78.28</v>
      </c>
      <c r="J70" s="377">
        <v>0.04</v>
      </c>
      <c r="K70" s="377">
        <f>I70*H70-J70</f>
        <v>1956.96</v>
      </c>
      <c r="L70" s="376"/>
      <c r="M70" s="376"/>
    </row>
    <row r="71" spans="1:31" x14ac:dyDescent="0.25">
      <c r="A71" s="376"/>
      <c r="B71" s="375">
        <v>42537</v>
      </c>
      <c r="C71" s="376">
        <v>25</v>
      </c>
      <c r="D71" s="377">
        <v>75.88</v>
      </c>
      <c r="E71" s="377">
        <v>0</v>
      </c>
      <c r="F71" s="377">
        <f>D71*C71+E71</f>
        <v>1897</v>
      </c>
      <c r="G71" s="375">
        <v>42577</v>
      </c>
      <c r="H71" s="380">
        <v>10</v>
      </c>
      <c r="I71" s="377">
        <v>83.3</v>
      </c>
      <c r="J71" s="377">
        <v>0.02</v>
      </c>
      <c r="K71" s="377">
        <f>I71*H71-J71</f>
        <v>832.98</v>
      </c>
      <c r="L71" s="376"/>
      <c r="M71" s="376"/>
    </row>
    <row r="72" spans="1:31" x14ac:dyDescent="0.25">
      <c r="A72" s="376"/>
      <c r="B72" s="375">
        <v>42548</v>
      </c>
      <c r="C72" s="376">
        <v>25</v>
      </c>
      <c r="D72" s="377">
        <v>73.58</v>
      </c>
      <c r="E72" s="377">
        <v>0</v>
      </c>
      <c r="F72" s="377">
        <f>D72*C72+E72</f>
        <v>1839.5</v>
      </c>
      <c r="G72" s="375">
        <v>42580</v>
      </c>
      <c r="H72" s="380">
        <v>40</v>
      </c>
      <c r="I72" s="377">
        <v>83.33</v>
      </c>
      <c r="J72" s="377">
        <v>7.0000000000000007E-2</v>
      </c>
      <c r="K72" s="377">
        <f>I72*H72-J72</f>
        <v>3333.1299999999997</v>
      </c>
      <c r="L72" s="376"/>
      <c r="M72" s="376"/>
    </row>
    <row r="73" spans="1:31" x14ac:dyDescent="0.25">
      <c r="A73" s="376"/>
      <c r="B73" s="375">
        <v>42608</v>
      </c>
      <c r="C73" s="376">
        <v>25</v>
      </c>
      <c r="D73" s="377">
        <v>79.02</v>
      </c>
      <c r="E73" s="377">
        <v>0</v>
      </c>
      <c r="F73" s="377">
        <f t="shared" ref="F73:F79" si="3">C73*D73+E73</f>
        <v>1975.5</v>
      </c>
      <c r="G73" s="375">
        <v>42674</v>
      </c>
      <c r="H73" s="380">
        <v>25</v>
      </c>
      <c r="I73" s="377">
        <v>70.900000000000006</v>
      </c>
      <c r="J73" s="377">
        <v>0.04</v>
      </c>
      <c r="K73" s="377">
        <f>H73*I73-J73</f>
        <v>1772.4600000000003</v>
      </c>
      <c r="L73" s="375">
        <v>42660</v>
      </c>
      <c r="M73" s="377">
        <v>22.45</v>
      </c>
    </row>
    <row r="74" spans="1:31" x14ac:dyDescent="0.25">
      <c r="A74" s="376"/>
      <c r="B74" s="375">
        <v>42627</v>
      </c>
      <c r="C74" s="376">
        <v>25</v>
      </c>
      <c r="D74" s="377">
        <v>76.3</v>
      </c>
      <c r="E74" s="377">
        <v>0</v>
      </c>
      <c r="F74" s="377">
        <f t="shared" si="3"/>
        <v>1907.5</v>
      </c>
      <c r="G74" s="375">
        <v>42711</v>
      </c>
      <c r="H74" s="380">
        <v>25</v>
      </c>
      <c r="I74" s="377">
        <v>69.680000000000007</v>
      </c>
      <c r="J74" s="377">
        <v>0.04</v>
      </c>
      <c r="K74" s="377">
        <f>H74*I74-J74</f>
        <v>1741.9600000000003</v>
      </c>
      <c r="L74" s="375">
        <v>42753</v>
      </c>
      <c r="M74" s="377">
        <v>22.45</v>
      </c>
    </row>
    <row r="75" spans="1:31" x14ac:dyDescent="0.25">
      <c r="A75" s="376"/>
      <c r="B75" s="375">
        <v>42668</v>
      </c>
      <c r="C75" s="376">
        <v>25</v>
      </c>
      <c r="D75" s="377">
        <v>74.38</v>
      </c>
      <c r="E75" s="377">
        <v>0</v>
      </c>
      <c r="F75" s="377">
        <f t="shared" si="3"/>
        <v>1859.5</v>
      </c>
      <c r="G75" s="375">
        <v>42713</v>
      </c>
      <c r="H75" s="380">
        <v>50</v>
      </c>
      <c r="I75" s="377">
        <v>72.58</v>
      </c>
      <c r="J75" s="377">
        <v>0.08</v>
      </c>
      <c r="K75" s="377">
        <f>H75*I75-J75</f>
        <v>3628.92</v>
      </c>
      <c r="L75" s="376"/>
      <c r="M75" s="376"/>
    </row>
    <row r="76" spans="1:31" x14ac:dyDescent="0.25">
      <c r="A76" s="376"/>
      <c r="B76" s="375">
        <v>42671</v>
      </c>
      <c r="C76" s="376">
        <v>25</v>
      </c>
      <c r="D76" s="377">
        <v>64.7</v>
      </c>
      <c r="E76" s="377">
        <v>0</v>
      </c>
      <c r="F76" s="377">
        <f t="shared" si="3"/>
        <v>1617.5</v>
      </c>
      <c r="G76" s="375">
        <v>42713</v>
      </c>
      <c r="H76" s="380">
        <v>25</v>
      </c>
      <c r="I76" s="377">
        <v>73.25</v>
      </c>
      <c r="J76" s="377">
        <v>0.04</v>
      </c>
      <c r="K76" s="377">
        <f>H76*I76-J76</f>
        <v>1831.21</v>
      </c>
      <c r="L76" s="376"/>
      <c r="M76" s="376"/>
    </row>
    <row r="77" spans="1:31" x14ac:dyDescent="0.25">
      <c r="A77" s="376"/>
      <c r="B77" s="375">
        <v>42674</v>
      </c>
      <c r="C77" s="376">
        <v>25</v>
      </c>
      <c r="D77" s="377">
        <v>69.680000000000007</v>
      </c>
      <c r="E77" s="377">
        <v>0</v>
      </c>
      <c r="F77" s="377">
        <f t="shared" si="3"/>
        <v>1742.0000000000002</v>
      </c>
      <c r="G77" s="375">
        <v>42752</v>
      </c>
      <c r="H77" s="380">
        <v>50</v>
      </c>
      <c r="I77" s="377">
        <v>75.69</v>
      </c>
      <c r="J77" s="377">
        <v>0.33</v>
      </c>
      <c r="K77" s="377">
        <f>H77*I77-J77</f>
        <v>3784.17</v>
      </c>
      <c r="L77" s="376"/>
      <c r="M77" s="376"/>
    </row>
    <row r="78" spans="1:31" x14ac:dyDescent="0.25">
      <c r="A78" s="376"/>
      <c r="B78" s="375">
        <v>42711</v>
      </c>
      <c r="C78" s="376">
        <v>25</v>
      </c>
      <c r="D78" s="377">
        <v>68.8</v>
      </c>
      <c r="E78" s="377">
        <v>0</v>
      </c>
      <c r="F78" s="377">
        <f t="shared" si="3"/>
        <v>1720</v>
      </c>
      <c r="G78" s="376"/>
      <c r="H78" s="380"/>
      <c r="I78" s="377"/>
      <c r="J78" s="377"/>
      <c r="K78" s="377"/>
      <c r="L78" s="376"/>
      <c r="M78" s="376"/>
    </row>
    <row r="79" spans="1:31" x14ac:dyDescent="0.25">
      <c r="A79" s="376"/>
      <c r="B79" s="375">
        <v>42718</v>
      </c>
      <c r="C79" s="376">
        <v>25</v>
      </c>
      <c r="D79" s="377">
        <v>72.48</v>
      </c>
      <c r="E79" s="377">
        <v>0</v>
      </c>
      <c r="F79" s="377">
        <f t="shared" si="3"/>
        <v>1812</v>
      </c>
      <c r="G79" s="376"/>
      <c r="H79" s="380"/>
      <c r="I79" s="377"/>
      <c r="J79" s="377"/>
      <c r="K79" s="377"/>
      <c r="L79" s="376"/>
      <c r="M79" s="376"/>
    </row>
    <row r="80" spans="1:31" x14ac:dyDescent="0.25">
      <c r="A80" s="376"/>
      <c r="B80" s="452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2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6"/>
      <c r="M80" s="376"/>
    </row>
    <row r="81" spans="1:13" x14ac:dyDescent="0.25">
      <c r="A81" s="376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6"/>
    </row>
    <row r="82" spans="1:13" x14ac:dyDescent="0.25">
      <c r="A82" s="376"/>
      <c r="B82" s="376"/>
      <c r="C82" s="376"/>
      <c r="D82" s="377"/>
      <c r="E82" s="377"/>
      <c r="F82" s="377"/>
      <c r="G82" s="376"/>
      <c r="H82" s="380"/>
      <c r="I82" s="377"/>
      <c r="J82" s="377"/>
      <c r="K82" s="377"/>
      <c r="L82" s="376"/>
      <c r="M82" s="376"/>
    </row>
    <row r="83" spans="1:13" x14ac:dyDescent="0.25">
      <c r="A83" s="376"/>
      <c r="B83" s="376"/>
      <c r="C83" s="376"/>
      <c r="D83" s="377"/>
      <c r="E83" s="377"/>
      <c r="F83" s="377"/>
      <c r="G83" s="376"/>
      <c r="H83" s="380"/>
      <c r="I83" s="377"/>
      <c r="J83" s="377"/>
      <c r="K83" s="377"/>
      <c r="L83" s="376"/>
      <c r="M83" s="376"/>
    </row>
    <row r="84" spans="1:13" x14ac:dyDescent="0.25">
      <c r="A84" s="376"/>
      <c r="B84" s="376"/>
      <c r="C84" s="376"/>
      <c r="D84" s="377"/>
      <c r="E84" s="377"/>
      <c r="F84" s="377"/>
      <c r="G84" s="376"/>
      <c r="H84" s="380"/>
      <c r="I84" s="377"/>
      <c r="J84" s="377"/>
      <c r="K84" s="377"/>
      <c r="L84" s="376"/>
      <c r="M84" s="376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5" t="s">
        <v>195</v>
      </c>
      <c r="B86" s="466"/>
      <c r="C86" s="467">
        <f>SumByColor($A$19,C69:C84)</f>
        <v>25</v>
      </c>
      <c r="D86" s="467"/>
      <c r="E86" s="467"/>
      <c r="F86" s="468">
        <f>SumByColor($A$19,F69:F84)</f>
        <v>1793</v>
      </c>
      <c r="G86" s="467"/>
      <c r="H86" s="467">
        <f>SumByColor($A$19,H69:H84)</f>
        <v>25</v>
      </c>
      <c r="I86" s="467"/>
      <c r="J86" s="467"/>
      <c r="K86" s="468">
        <f>SumByColor($A$19,K69:K84)</f>
        <v>1944</v>
      </c>
      <c r="L86" s="467"/>
      <c r="M86" s="468">
        <f>SumByColor($A$19,M69:M84)</f>
        <v>0</v>
      </c>
    </row>
    <row r="92" spans="1:13" x14ac:dyDescent="0.25">
      <c r="B92" s="375" t="s">
        <v>113</v>
      </c>
      <c r="C92" s="376" t="s">
        <v>146</v>
      </c>
      <c r="D92" s="377" t="s">
        <v>145</v>
      </c>
      <c r="E92" s="377" t="s">
        <v>147</v>
      </c>
      <c r="F92" s="377" t="s">
        <v>65</v>
      </c>
      <c r="G92" s="377" t="s">
        <v>151</v>
      </c>
      <c r="H92" s="378" t="s">
        <v>88</v>
      </c>
      <c r="I92" s="377" t="s">
        <v>154</v>
      </c>
    </row>
    <row r="93" spans="1:13" x14ac:dyDescent="0.25">
      <c r="A93" s="521" t="s">
        <v>350</v>
      </c>
      <c r="B93" s="520">
        <v>42754</v>
      </c>
      <c r="C93" s="521">
        <v>25</v>
      </c>
      <c r="D93" s="522">
        <v>71.73</v>
      </c>
      <c r="E93" s="523">
        <v>75.55</v>
      </c>
      <c r="F93" s="523">
        <f>C93*(E93-D93)</f>
        <v>95.499999999999829</v>
      </c>
      <c r="G93" s="523">
        <f>D93*C93</f>
        <v>1793.25</v>
      </c>
      <c r="H93" s="567">
        <f>(E93-D93)/D93</f>
        <v>5.3255262791021787E-2</v>
      </c>
      <c r="I93" s="523">
        <v>70</v>
      </c>
    </row>
    <row r="94" spans="1:13" x14ac:dyDescent="0.25">
      <c r="A94" s="521" t="s">
        <v>382</v>
      </c>
      <c r="B94" s="520">
        <v>42761</v>
      </c>
      <c r="C94" s="521">
        <v>50</v>
      </c>
      <c r="D94" s="522">
        <v>72.155000000000001</v>
      </c>
      <c r="E94" s="523">
        <v>73.09</v>
      </c>
      <c r="F94" s="523">
        <f>C94*(E94-D94)</f>
        <v>46.750000000000114</v>
      </c>
      <c r="G94" s="523">
        <f>D94*C94</f>
        <v>3607.75</v>
      </c>
      <c r="H94" s="567">
        <f>(E94-D94)/D94</f>
        <v>1.2958214953918679E-2</v>
      </c>
      <c r="I94" s="523">
        <v>71</v>
      </c>
    </row>
    <row r="95" spans="1:13" x14ac:dyDescent="0.25">
      <c r="A95" s="521" t="s">
        <v>419</v>
      </c>
      <c r="B95" s="520">
        <v>42771</v>
      </c>
      <c r="C95" s="521">
        <v>50</v>
      </c>
      <c r="D95" s="522">
        <v>72.155000000000001</v>
      </c>
      <c r="E95" s="523">
        <v>74.87</v>
      </c>
      <c r="F95" s="523">
        <f>C95*(E95-D95)</f>
        <v>135.75000000000017</v>
      </c>
      <c r="G95" s="523">
        <f>D95*C95</f>
        <v>3607.75</v>
      </c>
      <c r="H95" s="567">
        <f>(E95-D95)/D95</f>
        <v>3.7627330053357402E-2</v>
      </c>
      <c r="I95" s="523"/>
    </row>
    <row r="96" spans="1:13" x14ac:dyDescent="0.25">
      <c r="A96" s="521" t="s">
        <v>424</v>
      </c>
      <c r="B96" s="520">
        <v>42773</v>
      </c>
      <c r="C96" s="521">
        <v>25</v>
      </c>
      <c r="D96" s="522">
        <v>66.531599999999997</v>
      </c>
      <c r="E96" s="523">
        <v>75.87</v>
      </c>
      <c r="F96" s="523">
        <f>C96*(E96-D96)</f>
        <v>233.46000000000018</v>
      </c>
      <c r="G96" s="523">
        <f>D96*C96</f>
        <v>1663.29</v>
      </c>
      <c r="H96" s="567">
        <f>(E96-D96)/D96</f>
        <v>0.14036037010984265</v>
      </c>
      <c r="I96" s="523"/>
    </row>
    <row r="97" spans="1:9" x14ac:dyDescent="0.25">
      <c r="A97" s="661"/>
      <c r="B97" s="662"/>
      <c r="C97" s="661"/>
      <c r="D97" s="663"/>
      <c r="E97" s="663"/>
      <c r="F97" s="663"/>
      <c r="G97" s="663"/>
      <c r="H97" s="664"/>
      <c r="I97" s="663"/>
    </row>
    <row r="98" spans="1:9" x14ac:dyDescent="0.25">
      <c r="A98" s="661" t="s">
        <v>461</v>
      </c>
      <c r="B98" s="662">
        <v>42787</v>
      </c>
      <c r="C98" s="661">
        <v>25</v>
      </c>
      <c r="D98" s="663">
        <v>72.58</v>
      </c>
      <c r="E98" s="663">
        <v>81.34</v>
      </c>
      <c r="F98" s="663">
        <f>C98*(E98-D98)</f>
        <v>219.00000000000011</v>
      </c>
      <c r="G98" s="663">
        <f>D98*C98</f>
        <v>1814.5</v>
      </c>
      <c r="H98" s="664">
        <f>(E98-D98)/D98</f>
        <v>0.12069440617249938</v>
      </c>
      <c r="I98" s="663"/>
    </row>
    <row r="99" spans="1:9" x14ac:dyDescent="0.25">
      <c r="A99" s="661"/>
      <c r="B99" s="662">
        <v>42796</v>
      </c>
      <c r="C99" s="661">
        <v>0</v>
      </c>
      <c r="D99" s="663"/>
      <c r="E99" s="663"/>
      <c r="F99" s="663">
        <v>244.96</v>
      </c>
      <c r="G99" s="663"/>
      <c r="H99" s="664"/>
      <c r="I99" s="663"/>
    </row>
    <row r="100" spans="1:9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9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9" x14ac:dyDescent="0.25">
      <c r="B102" s="190"/>
      <c r="C102" s="10"/>
      <c r="D102" s="40"/>
      <c r="E102" s="40"/>
      <c r="F102" s="40"/>
      <c r="G102" s="40"/>
      <c r="H102" s="228"/>
      <c r="I102" s="40"/>
    </row>
    <row r="103" spans="1:9" x14ac:dyDescent="0.25">
      <c r="B103" s="190"/>
      <c r="C103" s="10"/>
      <c r="D103" s="40"/>
      <c r="E103" s="40"/>
      <c r="F103" s="40"/>
      <c r="G103" s="40"/>
      <c r="H103" s="228"/>
      <c r="I103" s="40"/>
    </row>
    <row r="104" spans="1:9" x14ac:dyDescent="0.25">
      <c r="B104" s="190"/>
      <c r="C104" s="10"/>
      <c r="D104" s="40"/>
      <c r="E104" s="40"/>
      <c r="F104" s="40"/>
      <c r="G104" s="40"/>
      <c r="H104" s="228"/>
      <c r="I104" s="40"/>
    </row>
    <row r="105" spans="1:9" x14ac:dyDescent="0.25">
      <c r="B105" s="190"/>
      <c r="C105" s="10"/>
      <c r="D105" s="40"/>
      <c r="E105" s="40"/>
      <c r="F105" s="40"/>
      <c r="G105" s="40"/>
      <c r="H105" s="228"/>
      <c r="I105" s="40"/>
    </row>
    <row r="106" spans="1:9" x14ac:dyDescent="0.25">
      <c r="B106" s="190"/>
      <c r="C106" s="10"/>
      <c r="D106" s="40"/>
      <c r="E106" s="40"/>
      <c r="F106" s="40"/>
      <c r="G106" s="40"/>
      <c r="H106" s="228"/>
      <c r="I106" s="40"/>
    </row>
    <row r="107" spans="1:9" x14ac:dyDescent="0.25">
      <c r="B107" s="190"/>
      <c r="C107" s="10"/>
      <c r="D107" s="40"/>
      <c r="E107" s="40"/>
      <c r="F107" s="40"/>
      <c r="G107" s="40"/>
      <c r="H107" s="228"/>
      <c r="I107" s="40"/>
    </row>
    <row r="108" spans="1:9" x14ac:dyDescent="0.25">
      <c r="B108" s="190"/>
      <c r="C108" s="10"/>
      <c r="D108" s="40"/>
      <c r="E108" s="40"/>
      <c r="F108" s="40"/>
      <c r="G108" s="40"/>
      <c r="H108" s="228"/>
      <c r="I108" s="40"/>
    </row>
    <row r="109" spans="1:9" x14ac:dyDescent="0.25">
      <c r="B109" s="190"/>
      <c r="C109" s="10"/>
      <c r="D109" s="40"/>
      <c r="E109" s="40"/>
      <c r="F109" s="40"/>
      <c r="G109" s="40"/>
      <c r="H109" s="228"/>
      <c r="I109" s="40"/>
    </row>
    <row r="110" spans="1:9" x14ac:dyDescent="0.25">
      <c r="B110" s="190"/>
      <c r="C110" s="10"/>
      <c r="D110" s="40"/>
      <c r="E110" s="40"/>
      <c r="F110" s="40"/>
      <c r="G110" s="40"/>
      <c r="H110" s="228"/>
      <c r="I110" s="40"/>
    </row>
    <row r="111" spans="1:9" x14ac:dyDescent="0.25">
      <c r="B111" s="190"/>
      <c r="C111" s="10"/>
      <c r="D111" s="40"/>
      <c r="E111" s="40"/>
      <c r="F111" s="40"/>
      <c r="G111" s="40"/>
      <c r="H111" s="228"/>
      <c r="I111" s="40"/>
    </row>
    <row r="112" spans="1:9" x14ac:dyDescent="0.25">
      <c r="B112" s="190"/>
      <c r="C112" s="10"/>
      <c r="D112" s="40"/>
      <c r="E112" s="40"/>
      <c r="F112" s="40"/>
      <c r="G112" s="40"/>
      <c r="H112" s="228"/>
      <c r="I112" s="40"/>
    </row>
    <row r="113" spans="2:9" x14ac:dyDescent="0.25">
      <c r="B113" s="190"/>
      <c r="C113" s="10"/>
      <c r="D113" s="40"/>
      <c r="E113" s="40"/>
      <c r="F113" s="40"/>
      <c r="G113" s="40"/>
      <c r="H113" s="228"/>
      <c r="I113" s="40"/>
    </row>
    <row r="114" spans="2:9" x14ac:dyDescent="0.25">
      <c r="B114" s="190"/>
      <c r="C114" s="10"/>
      <c r="D114" s="40"/>
      <c r="E114" s="40"/>
      <c r="F114" s="40"/>
      <c r="G114" s="40"/>
      <c r="H114" s="228"/>
      <c r="I114" s="40"/>
    </row>
    <row r="115" spans="2:9" x14ac:dyDescent="0.25">
      <c r="B115" s="190"/>
      <c r="C115" s="10"/>
      <c r="D115" s="40"/>
      <c r="E115" s="40"/>
      <c r="F115" s="40"/>
      <c r="G115" s="40"/>
      <c r="H115" s="228"/>
      <c r="I115" s="40"/>
    </row>
    <row r="116" spans="2:9" x14ac:dyDescent="0.25">
      <c r="B116" s="190"/>
      <c r="C116" s="10"/>
      <c r="D116" s="40"/>
      <c r="E116" s="40"/>
      <c r="F116" s="40"/>
      <c r="G116" s="40"/>
      <c r="H116" s="228"/>
      <c r="I116" s="40"/>
    </row>
    <row r="117" spans="2:9" x14ac:dyDescent="0.25">
      <c r="B117" s="190"/>
      <c r="C117" s="10"/>
      <c r="D117" s="40"/>
      <c r="E117" s="40"/>
      <c r="F117" s="40"/>
      <c r="G117" s="40"/>
      <c r="H117" s="228"/>
      <c r="I117" s="40"/>
    </row>
    <row r="118" spans="2:9" x14ac:dyDescent="0.25">
      <c r="B118" s="190"/>
      <c r="C118" s="10"/>
      <c r="D118" s="40"/>
      <c r="E118" s="40"/>
      <c r="F118" s="40"/>
      <c r="G118" s="40"/>
      <c r="H118" s="228"/>
      <c r="I118" s="40"/>
    </row>
    <row r="119" spans="2:9" x14ac:dyDescent="0.25">
      <c r="B119" s="190"/>
      <c r="C119" s="10"/>
      <c r="D119" s="40"/>
      <c r="E119" s="40"/>
      <c r="F119" s="40"/>
      <c r="G119" s="40"/>
      <c r="H119" s="228"/>
      <c r="I119" s="40"/>
    </row>
    <row r="120" spans="2:9" x14ac:dyDescent="0.25">
      <c r="B120" s="190"/>
      <c r="C120" s="10"/>
      <c r="D120" s="40"/>
      <c r="E120" s="40"/>
      <c r="F120" s="40"/>
      <c r="G120" s="40"/>
      <c r="H120" s="228"/>
      <c r="I120" s="40"/>
    </row>
    <row r="121" spans="2:9" x14ac:dyDescent="0.25">
      <c r="B121" s="190"/>
      <c r="C121" s="10"/>
      <c r="D121" s="40"/>
      <c r="E121" s="40"/>
      <c r="F121" s="40"/>
      <c r="G121" s="40"/>
      <c r="H121" s="228"/>
      <c r="I121" s="40"/>
    </row>
    <row r="122" spans="2:9" x14ac:dyDescent="0.25">
      <c r="B122" s="190"/>
      <c r="C122" s="10"/>
      <c r="D122" s="40"/>
      <c r="E122" s="40"/>
      <c r="F122" s="40"/>
      <c r="G122" s="40"/>
      <c r="H122" s="228"/>
      <c r="I122" s="40"/>
    </row>
    <row r="123" spans="2:9" x14ac:dyDescent="0.25">
      <c r="B123" s="190"/>
      <c r="C123" s="10"/>
      <c r="D123" s="40"/>
      <c r="E123" s="40"/>
      <c r="F123" s="40"/>
      <c r="G123" s="40"/>
      <c r="H123" s="228"/>
      <c r="I123" s="40"/>
    </row>
    <row r="124" spans="2:9" x14ac:dyDescent="0.25">
      <c r="B124" s="190"/>
      <c r="C124" s="10"/>
      <c r="D124" s="40"/>
      <c r="E124" s="40"/>
      <c r="F124" s="40"/>
      <c r="G124" s="40"/>
      <c r="H124" s="228"/>
      <c r="I124" s="40"/>
    </row>
    <row r="125" spans="2:9" x14ac:dyDescent="0.25">
      <c r="B125" s="190"/>
      <c r="C125" s="10"/>
      <c r="D125" s="40"/>
      <c r="E125" s="40"/>
      <c r="F125" s="40"/>
      <c r="G125" s="40"/>
      <c r="H125" s="228"/>
      <c r="I125" s="40"/>
    </row>
    <row r="126" spans="2:9" x14ac:dyDescent="0.25">
      <c r="B126" s="190"/>
      <c r="C126" s="10"/>
      <c r="D126" s="40"/>
      <c r="E126" s="40"/>
      <c r="F126" s="40"/>
      <c r="G126" s="40"/>
      <c r="H126" s="228"/>
      <c r="I126" s="40"/>
    </row>
    <row r="127" spans="2:9" x14ac:dyDescent="0.25">
      <c r="B127" s="190"/>
      <c r="C127" s="10"/>
      <c r="D127" s="40"/>
      <c r="E127" s="40"/>
      <c r="F127" s="40"/>
      <c r="G127" s="40"/>
      <c r="H127" s="228"/>
      <c r="I127" s="40"/>
    </row>
    <row r="128" spans="2:9" x14ac:dyDescent="0.25">
      <c r="B128" s="190"/>
      <c r="C128" s="10"/>
      <c r="D128" s="40"/>
      <c r="E128" s="40"/>
      <c r="F128" s="40"/>
      <c r="G128" s="40"/>
      <c r="H128" s="228"/>
      <c r="I128" s="40"/>
    </row>
    <row r="129" spans="2:9" x14ac:dyDescent="0.25">
      <c r="B129" s="190"/>
      <c r="C129" s="10"/>
      <c r="D129" s="40"/>
      <c r="E129" s="40"/>
      <c r="F129" s="40"/>
      <c r="G129" s="40"/>
      <c r="H129" s="228"/>
      <c r="I129" s="40"/>
    </row>
    <row r="130" spans="2:9" x14ac:dyDescent="0.25">
      <c r="B130" s="190"/>
      <c r="C130" s="10"/>
      <c r="D130" s="40"/>
      <c r="E130" s="40"/>
      <c r="F130" s="40"/>
      <c r="G130" s="40"/>
      <c r="H130" s="228"/>
      <c r="I130" s="40"/>
    </row>
    <row r="131" spans="2:9" x14ac:dyDescent="0.25">
      <c r="B131" s="190"/>
      <c r="C131" s="10"/>
      <c r="D131" s="40"/>
      <c r="E131" s="40"/>
      <c r="F131" s="40"/>
      <c r="G131" s="40"/>
      <c r="H131" s="228"/>
      <c r="I131" s="40"/>
    </row>
    <row r="132" spans="2:9" x14ac:dyDescent="0.25">
      <c r="B132" s="190"/>
      <c r="C132" s="10"/>
      <c r="D132" s="40"/>
      <c r="E132" s="40"/>
      <c r="F132" s="40"/>
      <c r="G132" s="40"/>
      <c r="H132" s="228"/>
      <c r="I132" s="40"/>
    </row>
    <row r="133" spans="2:9" x14ac:dyDescent="0.25">
      <c r="B133" s="190"/>
      <c r="C133" s="10"/>
      <c r="D133" s="40"/>
      <c r="E133" s="40"/>
      <c r="F133" s="40"/>
      <c r="G133" s="40"/>
      <c r="H133" s="228"/>
      <c r="I133" s="40"/>
    </row>
    <row r="134" spans="2:9" x14ac:dyDescent="0.25">
      <c r="B134" s="190"/>
      <c r="C134" s="10"/>
      <c r="D134" s="40"/>
      <c r="E134" s="40"/>
      <c r="F134" s="40"/>
      <c r="G134" s="40"/>
      <c r="H134" s="228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110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201</v>
      </c>
      <c r="W2" s="131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5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(F29-K29-M29)/Q2)</f>
        <v>49.92</v>
      </c>
      <c r="T3" s="1">
        <v>42565</v>
      </c>
      <c r="U3" t="s">
        <v>236</v>
      </c>
      <c r="W3" s="131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5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198">
        <v>49.92</v>
      </c>
      <c r="R4" s="518">
        <v>-3.0000000000000001E-3</v>
      </c>
      <c r="T4" s="507">
        <v>42568</v>
      </c>
      <c r="U4" t="s">
        <v>247</v>
      </c>
      <c r="W4" s="131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5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267</v>
      </c>
      <c r="W5" s="131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5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0">
        <v>42647</v>
      </c>
      <c r="U6" t="s">
        <v>271</v>
      </c>
      <c r="W6" s="131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5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1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5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2"/>
      <c r="I8" s="3"/>
      <c r="J8" s="3"/>
      <c r="K8" s="3"/>
      <c r="L8" s="4"/>
      <c r="M8" s="4"/>
      <c r="O8" s="11" t="s">
        <v>181</v>
      </c>
      <c r="P8" s="34"/>
      <c r="Q8" s="2">
        <f>K29+M29-F29+Q2*Q4</f>
        <v>0</v>
      </c>
      <c r="R8" s="425"/>
      <c r="W8" s="131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5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4"/>
      <c r="H9" s="4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5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8"/>
      <c r="I10" s="74"/>
      <c r="J10" s="74"/>
      <c r="K10" s="74"/>
      <c r="L10" s="4"/>
      <c r="M10" s="4"/>
      <c r="O10" s="11" t="s">
        <v>210</v>
      </c>
      <c r="P10" s="34"/>
      <c r="Q10" s="2">
        <f>M104 + M126</f>
        <v>1198.4699999999971</v>
      </c>
      <c r="W10" s="131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5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2"/>
      <c r="I11" s="3"/>
      <c r="J11" s="3"/>
      <c r="K11" s="74"/>
      <c r="L11" s="4"/>
      <c r="M11" s="4"/>
      <c r="O11" s="11" t="s">
        <v>176</v>
      </c>
      <c r="P11" s="34"/>
      <c r="Q11" s="135">
        <f>VALUE(TRIM(CLEAN(MID(U58, FIND("(", U58)+1, 5))))</f>
        <v>1.7600000000000001E-2</v>
      </c>
      <c r="W11" s="131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5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2"/>
      <c r="I12" s="3"/>
      <c r="J12" s="3"/>
      <c r="K12" s="3"/>
      <c r="L12" s="4"/>
      <c r="M12" s="4"/>
      <c r="W12" s="131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5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2"/>
      <c r="I13" s="3"/>
      <c r="J13" s="3"/>
      <c r="K13" s="3"/>
      <c r="L13" s="4"/>
      <c r="M13" s="4"/>
      <c r="W13" s="131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5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2"/>
      <c r="I14" s="3"/>
      <c r="J14" s="3"/>
      <c r="K14" s="3"/>
      <c r="L14" s="4"/>
      <c r="M14" s="4"/>
      <c r="W14" s="131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5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2"/>
      <c r="I15" s="3"/>
      <c r="J15" s="3"/>
      <c r="K15" s="3"/>
      <c r="L15" s="4"/>
      <c r="M15" s="4"/>
      <c r="W15" s="131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5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2"/>
      <c r="I16" s="3"/>
      <c r="J16" s="3"/>
      <c r="K16" s="3"/>
      <c r="L16" s="4"/>
      <c r="M16" s="4"/>
      <c r="W16" s="131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5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1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5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1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5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1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5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1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5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1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5">
        <f t="shared" si="1"/>
        <v>-8.8105726872247381E-3</v>
      </c>
    </row>
    <row r="22" spans="1:31" x14ac:dyDescent="0.25">
      <c r="W22" s="131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5">
        <f t="shared" si="1"/>
        <v>6.2972292191432189E-4</v>
      </c>
    </row>
    <row r="23" spans="1:31" x14ac:dyDescent="0.25">
      <c r="W23" s="131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5">
        <f t="shared" si="1"/>
        <v>-2.4769703172978552E-2</v>
      </c>
    </row>
    <row r="24" spans="1:31" x14ac:dyDescent="0.25">
      <c r="W24" s="131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5">
        <f t="shared" si="1"/>
        <v>-2.5533612607221201E-2</v>
      </c>
    </row>
    <row r="25" spans="1:31" x14ac:dyDescent="0.25">
      <c r="W25" s="131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5">
        <f t="shared" si="1"/>
        <v>3.402722177742179E-3</v>
      </c>
    </row>
    <row r="26" spans="1:31" x14ac:dyDescent="0.25">
      <c r="W26" s="131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5">
        <f t="shared" si="1"/>
        <v>-2.0968058005095047E-2</v>
      </c>
    </row>
    <row r="27" spans="1:31" x14ac:dyDescent="0.25">
      <c r="W27" s="131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5">
        <f t="shared" si="1"/>
        <v>2.2030843180452564E-2</v>
      </c>
    </row>
    <row r="28" spans="1:31" x14ac:dyDescent="0.25">
      <c r="H28" s="71"/>
      <c r="W28" s="131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5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1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5">
        <f t="shared" si="1"/>
        <v>-3.9635354736433648E-4</v>
      </c>
    </row>
    <row r="30" spans="1:31" ht="15.75" thickBot="1" x14ac:dyDescent="0.3">
      <c r="A30" s="351" t="s">
        <v>195</v>
      </c>
      <c r="B30" s="352"/>
      <c r="C30" s="353">
        <f>SumByColor($A$30,C2:C28)</f>
        <v>0</v>
      </c>
      <c r="D30" s="353"/>
      <c r="E30" s="353"/>
      <c r="F30" s="354">
        <f>SumByColor($A$30,F2:F28)</f>
        <v>0</v>
      </c>
      <c r="G30" s="353"/>
      <c r="H30" s="353">
        <f>SumByColor($A$30,H3:H28)</f>
        <v>0</v>
      </c>
      <c r="I30" s="353"/>
      <c r="J30" s="353"/>
      <c r="K30" s="354">
        <f>SumByColor($A$30,K3:K28)</f>
        <v>0</v>
      </c>
      <c r="L30" s="353"/>
      <c r="M30" s="354">
        <f>SumByColor($A$30,M2:M28)</f>
        <v>0</v>
      </c>
      <c r="W30" s="131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5">
        <f t="shared" si="1"/>
        <v>-3.9619651347055918E-4</v>
      </c>
    </row>
    <row r="31" spans="1:31" x14ac:dyDescent="0.25">
      <c r="W31" s="131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5">
        <f t="shared" si="1"/>
        <v>-8.8356567838210331E-3</v>
      </c>
    </row>
    <row r="32" spans="1:31" x14ac:dyDescent="0.25">
      <c r="W32" s="131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5" t="e">
        <f t="shared" si="1"/>
        <v>#DIV/0!</v>
      </c>
    </row>
    <row r="33" spans="2:31" x14ac:dyDescent="0.25">
      <c r="W33" s="131">
        <v>42788</v>
      </c>
      <c r="X33" s="10" t="s">
        <v>471</v>
      </c>
      <c r="Y33" s="10"/>
      <c r="Z33" s="10"/>
      <c r="AA33" s="10"/>
      <c r="AB33" s="94"/>
      <c r="AC33" s="10"/>
      <c r="AD33" s="2">
        <f t="shared" si="0"/>
        <v>0</v>
      </c>
      <c r="AE33" s="135">
        <f t="shared" si="1"/>
        <v>-1</v>
      </c>
    </row>
    <row r="34" spans="2:31" x14ac:dyDescent="0.25">
      <c r="W34" s="131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5">
        <f t="shared" si="1"/>
        <v>-3.9192631785234244E-4</v>
      </c>
    </row>
    <row r="35" spans="2:31" x14ac:dyDescent="0.25">
      <c r="B35" s="266" t="s">
        <v>113</v>
      </c>
      <c r="C35" s="266" t="s">
        <v>146</v>
      </c>
      <c r="D35" s="267" t="s">
        <v>145</v>
      </c>
      <c r="E35" s="268" t="s">
        <v>147</v>
      </c>
      <c r="F35" s="268" t="s">
        <v>65</v>
      </c>
      <c r="G35" s="270" t="s">
        <v>151</v>
      </c>
      <c r="H35" s="270" t="s">
        <v>88</v>
      </c>
      <c r="I35" s="270" t="s">
        <v>154</v>
      </c>
      <c r="W35" s="131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5">
        <f t="shared" si="1"/>
        <v>7.9004542761207386E-3</v>
      </c>
    </row>
    <row r="36" spans="2:31" x14ac:dyDescent="0.25">
      <c r="B36" s="263">
        <v>42524</v>
      </c>
      <c r="C36" s="258">
        <v>200</v>
      </c>
      <c r="D36" s="526">
        <v>42.3598</v>
      </c>
      <c r="E36" s="259">
        <v>41.755000000000003</v>
      </c>
      <c r="F36" s="259">
        <f t="shared" ref="F36:F45" si="2">C36*(E36-D36)</f>
        <v>-120.95999999999947</v>
      </c>
      <c r="G36" s="259">
        <f>D36*C36</f>
        <v>8471.9599999999991</v>
      </c>
      <c r="H36" s="273">
        <f>(E36-D36)/D36</f>
        <v>-1.4277687807779955E-2</v>
      </c>
      <c r="I36" s="259"/>
      <c r="W36" s="131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5">
        <f t="shared" si="1"/>
        <v>-6.6705905434568669E-3</v>
      </c>
    </row>
    <row r="37" spans="2:31" x14ac:dyDescent="0.25">
      <c r="B37" s="263">
        <v>42527</v>
      </c>
      <c r="C37" s="258">
        <v>200</v>
      </c>
      <c r="D37" s="259">
        <v>42.3598</v>
      </c>
      <c r="E37" s="259">
        <v>41.28</v>
      </c>
      <c r="F37" s="259">
        <f t="shared" si="2"/>
        <v>-215.95999999999975</v>
      </c>
      <c r="G37" s="259">
        <f>D37*C37</f>
        <v>8471.9599999999991</v>
      </c>
      <c r="H37" s="273">
        <f>(E37-D37)/D37</f>
        <v>-2.5491149627713039E-2</v>
      </c>
      <c r="I37" s="259"/>
      <c r="W37" s="131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5">
        <f t="shared" si="1"/>
        <v>2.637937978252114E-2</v>
      </c>
    </row>
    <row r="38" spans="2:31" x14ac:dyDescent="0.25">
      <c r="B38" s="263">
        <v>42533</v>
      </c>
      <c r="C38" s="258">
        <v>200</v>
      </c>
      <c r="D38" s="259">
        <v>42.36</v>
      </c>
      <c r="E38" s="259">
        <v>42.04</v>
      </c>
      <c r="F38" s="259">
        <f t="shared" si="2"/>
        <v>-64.000000000000057</v>
      </c>
      <c r="G38" s="259">
        <f>D38*C38</f>
        <v>8472</v>
      </c>
      <c r="H38" s="273">
        <f>(E38-D38)/D38</f>
        <v>-7.5542965061378723E-3</v>
      </c>
      <c r="I38" s="259"/>
      <c r="W38" s="131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5">
        <f t="shared" si="1"/>
        <v>-4.0112314480545974E-3</v>
      </c>
    </row>
    <row r="39" spans="2:31" x14ac:dyDescent="0.25">
      <c r="B39" s="263">
        <v>42534</v>
      </c>
      <c r="C39" s="258">
        <v>200</v>
      </c>
      <c r="D39" s="259">
        <v>42.3598</v>
      </c>
      <c r="E39" s="259">
        <v>40.57</v>
      </c>
      <c r="F39" s="259">
        <f t="shared" si="2"/>
        <v>-357.95999999999992</v>
      </c>
      <c r="G39" s="259">
        <f t="shared" ref="G39:G45" si="3">D39*C39</f>
        <v>8471.9599999999991</v>
      </c>
      <c r="H39" s="273">
        <f t="shared" ref="H39:H45" si="4">(E39-D39)/D39</f>
        <v>-4.2252324137507721E-2</v>
      </c>
      <c r="I39" s="259"/>
      <c r="W39" s="131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5">
        <f t="shared" si="1"/>
        <v>1.6306563391765172E-2</v>
      </c>
    </row>
    <row r="40" spans="2:31" x14ac:dyDescent="0.25">
      <c r="B40" s="263">
        <v>42535</v>
      </c>
      <c r="C40" s="258">
        <v>300</v>
      </c>
      <c r="D40" s="259">
        <v>41.523200000000003</v>
      </c>
      <c r="E40" s="259">
        <v>39.11</v>
      </c>
      <c r="F40" s="259">
        <f t="shared" si="2"/>
        <v>-723.96000000000095</v>
      </c>
      <c r="G40" s="259">
        <f t="shared" si="3"/>
        <v>12456.960000000001</v>
      </c>
      <c r="H40" s="273">
        <f t="shared" si="4"/>
        <v>-5.8116908138101185E-2</v>
      </c>
      <c r="I40" s="259"/>
      <c r="W40" s="131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5">
        <f t="shared" si="1"/>
        <v>-1.4247913698350878E-3</v>
      </c>
    </row>
    <row r="41" spans="2:31" x14ac:dyDescent="0.25">
      <c r="B41" s="263">
        <v>42537</v>
      </c>
      <c r="C41" s="258">
        <v>400</v>
      </c>
      <c r="D41" s="259">
        <v>40.604900000000001</v>
      </c>
      <c r="E41" s="259">
        <v>38.020000000000003</v>
      </c>
      <c r="F41" s="259">
        <f t="shared" si="2"/>
        <v>-1033.9599999999991</v>
      </c>
      <c r="G41" s="259">
        <f t="shared" si="3"/>
        <v>16241.960000000001</v>
      </c>
      <c r="H41" s="273">
        <f t="shared" si="4"/>
        <v>-6.3659804604862896E-2</v>
      </c>
      <c r="I41" s="259"/>
      <c r="Q41" s="2"/>
      <c r="W41" s="131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5">
        <f t="shared" si="1"/>
        <v>2.5464412439991868E-2</v>
      </c>
    </row>
    <row r="42" spans="2:31" ht="20.25" thickBot="1" x14ac:dyDescent="0.35">
      <c r="B42" s="263">
        <v>42542</v>
      </c>
      <c r="C42" s="258">
        <v>400</v>
      </c>
      <c r="D42" s="259">
        <v>40.604900000000001</v>
      </c>
      <c r="E42" s="259">
        <v>38.67</v>
      </c>
      <c r="F42" s="259">
        <f t="shared" si="2"/>
        <v>-773.95999999999958</v>
      </c>
      <c r="G42" s="259">
        <f t="shared" si="3"/>
        <v>16241.960000000001</v>
      </c>
      <c r="H42" s="273">
        <f t="shared" si="4"/>
        <v>-4.7651884378486317E-2</v>
      </c>
      <c r="I42" s="259"/>
      <c r="O42" s="716" t="s">
        <v>78</v>
      </c>
      <c r="P42" s="716"/>
      <c r="Q42" s="2"/>
      <c r="T42" s="90" t="s">
        <v>112</v>
      </c>
      <c r="W42" s="131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5">
        <f t="shared" si="1"/>
        <v>-1.0425354462052505E-3</v>
      </c>
    </row>
    <row r="43" spans="2:31" ht="15.75" thickTop="1" x14ac:dyDescent="0.25">
      <c r="B43" s="263">
        <v>42545</v>
      </c>
      <c r="C43" s="258">
        <v>500</v>
      </c>
      <c r="D43" s="259">
        <v>39.685899999999997</v>
      </c>
      <c r="E43" s="259">
        <v>38.31</v>
      </c>
      <c r="F43" s="259">
        <f t="shared" si="2"/>
        <v>-687.9499999999972</v>
      </c>
      <c r="G43" s="259">
        <f t="shared" si="3"/>
        <v>19842.949999999997</v>
      </c>
      <c r="H43" s="273">
        <f t="shared" si="4"/>
        <v>-3.466974416606388E-2</v>
      </c>
      <c r="I43" s="259"/>
      <c r="O43" s="82">
        <v>1.1000000000000001</v>
      </c>
      <c r="P43" s="82">
        <f>O43*$Q$4</f>
        <v>54.912000000000006</v>
      </c>
      <c r="Q43" s="2"/>
      <c r="T43" s="126" t="s">
        <v>97</v>
      </c>
      <c r="U43" s="97">
        <v>45.11</v>
      </c>
      <c r="W43" s="131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5">
        <f t="shared" si="1"/>
        <v>-2.2883295194507935E-3</v>
      </c>
    </row>
    <row r="44" spans="2:31" x14ac:dyDescent="0.25">
      <c r="B44" s="263">
        <v>42545</v>
      </c>
      <c r="C44" s="258">
        <v>500</v>
      </c>
      <c r="D44" s="259">
        <v>39.487099999999998</v>
      </c>
      <c r="E44" s="259">
        <v>35.18</v>
      </c>
      <c r="F44" s="259">
        <f t="shared" si="2"/>
        <v>-2153.5499999999993</v>
      </c>
      <c r="G44" s="259">
        <f t="shared" si="3"/>
        <v>19743.55</v>
      </c>
      <c r="H44" s="273">
        <f t="shared" si="4"/>
        <v>-0.10907612865973948</v>
      </c>
      <c r="I44" s="259"/>
      <c r="O44" s="82">
        <v>1.0900000000000001</v>
      </c>
      <c r="P44" s="82">
        <f t="shared" ref="P44:P63" si="5">O44*$Q$4</f>
        <v>54.412800000000004</v>
      </c>
      <c r="Q44" s="2"/>
      <c r="T44" s="92" t="s">
        <v>98</v>
      </c>
      <c r="U44" s="87">
        <v>45.43</v>
      </c>
      <c r="W44" s="131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5">
        <f t="shared" si="1"/>
        <v>9.449811003779951E-3</v>
      </c>
    </row>
    <row r="45" spans="2:31" x14ac:dyDescent="0.25">
      <c r="B45" s="263">
        <v>42548</v>
      </c>
      <c r="C45" s="258">
        <v>600</v>
      </c>
      <c r="D45" s="259">
        <v>38.552599999999998</v>
      </c>
      <c r="E45" s="259">
        <v>33.36</v>
      </c>
      <c r="F45" s="259">
        <f t="shared" si="2"/>
        <v>-3115.5599999999995</v>
      </c>
      <c r="G45" s="259">
        <f t="shared" si="3"/>
        <v>23131.559999999998</v>
      </c>
      <c r="H45" s="273">
        <f t="shared" si="4"/>
        <v>-0.13468871100781787</v>
      </c>
      <c r="I45" s="259"/>
      <c r="O45" s="82">
        <v>1.08</v>
      </c>
      <c r="P45" s="82">
        <f t="shared" si="5"/>
        <v>53.913600000000002</v>
      </c>
      <c r="Q45" s="2"/>
      <c r="T45" s="92" t="s">
        <v>99</v>
      </c>
      <c r="U45" s="87" t="s">
        <v>128</v>
      </c>
      <c r="W45" s="131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5">
        <f t="shared" si="1"/>
        <v>9.1121000211908942E-3</v>
      </c>
    </row>
    <row r="46" spans="2:31" x14ac:dyDescent="0.25">
      <c r="B46" s="263">
        <v>42549</v>
      </c>
      <c r="C46" s="258">
        <v>600</v>
      </c>
      <c r="D46" s="259">
        <v>38.552599999999998</v>
      </c>
      <c r="E46" s="259">
        <v>34.67</v>
      </c>
      <c r="F46" s="259">
        <f t="shared" ref="F46:F88" si="6">C46*(E46-D46)</f>
        <v>-2329.5599999999977</v>
      </c>
      <c r="G46" s="259">
        <f t="shared" ref="G46:G88" si="7">D46*C46</f>
        <v>23131.559999999998</v>
      </c>
      <c r="H46" s="273">
        <f t="shared" ref="H46:H88" si="8">(E46-D46)/D46</f>
        <v>-0.10070916099043895</v>
      </c>
      <c r="I46" s="259"/>
      <c r="O46" s="82">
        <v>1.07</v>
      </c>
      <c r="P46" s="82">
        <f t="shared" si="5"/>
        <v>53.414400000000008</v>
      </c>
      <c r="Q46" s="2"/>
      <c r="T46" s="92" t="s">
        <v>100</v>
      </c>
      <c r="U46" s="87" t="s">
        <v>128</v>
      </c>
      <c r="W46" s="131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5">
        <f t="shared" si="1"/>
        <v>2.5493945188017619E-3</v>
      </c>
    </row>
    <row r="47" spans="2:31" x14ac:dyDescent="0.25">
      <c r="B47" s="263">
        <v>42552</v>
      </c>
      <c r="C47" s="258">
        <v>600</v>
      </c>
      <c r="D47" s="259">
        <v>38.552599999999998</v>
      </c>
      <c r="E47" s="259">
        <v>36.770000000000003</v>
      </c>
      <c r="F47" s="259">
        <f t="shared" si="6"/>
        <v>-1069.559999999997</v>
      </c>
      <c r="G47" s="259">
        <f t="shared" si="7"/>
        <v>23131.559999999998</v>
      </c>
      <c r="H47" s="273">
        <f t="shared" si="8"/>
        <v>-4.6238126611434643E-2</v>
      </c>
      <c r="I47" s="259"/>
      <c r="O47" s="82">
        <v>1.06</v>
      </c>
      <c r="P47" s="82">
        <f t="shared" si="5"/>
        <v>52.915200000000006</v>
      </c>
      <c r="Q47" s="2"/>
      <c r="T47" s="92" t="s">
        <v>101</v>
      </c>
      <c r="U47" s="87">
        <v>0.4</v>
      </c>
      <c r="W47" s="131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5">
        <f t="shared" si="1"/>
        <v>4.2507970244431981E-4</v>
      </c>
    </row>
    <row r="48" spans="2:31" x14ac:dyDescent="0.25">
      <c r="B48" s="263">
        <v>42556</v>
      </c>
      <c r="C48" s="272">
        <v>600</v>
      </c>
      <c r="D48" s="365">
        <v>38.552599999999998</v>
      </c>
      <c r="E48" s="259">
        <v>35.619999999999997</v>
      </c>
      <c r="F48" s="259">
        <f t="shared" si="6"/>
        <v>-1759.5600000000004</v>
      </c>
      <c r="G48" s="259">
        <f t="shared" si="7"/>
        <v>23131.559999999998</v>
      </c>
      <c r="H48" s="273">
        <f t="shared" si="8"/>
        <v>-7.6067502580889512E-2</v>
      </c>
      <c r="I48" s="259"/>
      <c r="O48" s="82">
        <v>1.05</v>
      </c>
      <c r="P48" s="82">
        <f t="shared" si="5"/>
        <v>52.416000000000004</v>
      </c>
      <c r="Q48" s="2"/>
      <c r="T48" s="92" t="s">
        <v>102</v>
      </c>
      <c r="U48" s="87">
        <v>1.0704400000000001</v>
      </c>
      <c r="W48" s="131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5">
        <f t="shared" si="1"/>
        <v>-9.0564448188711344E-3</v>
      </c>
    </row>
    <row r="49" spans="2:31" x14ac:dyDescent="0.25">
      <c r="B49" s="263">
        <v>42559</v>
      </c>
      <c r="C49" s="272">
        <v>600</v>
      </c>
      <c r="D49" s="365">
        <v>38.552599999999998</v>
      </c>
      <c r="E49" s="259">
        <v>37.369999999999997</v>
      </c>
      <c r="F49" s="259">
        <f t="shared" si="6"/>
        <v>-709.5600000000004</v>
      </c>
      <c r="G49" s="259">
        <f t="shared" si="7"/>
        <v>23131.559999999998</v>
      </c>
      <c r="H49" s="273">
        <f t="shared" si="8"/>
        <v>-3.0674973931719283E-2</v>
      </c>
      <c r="I49" s="259"/>
      <c r="O49" s="82">
        <v>1.04</v>
      </c>
      <c r="P49" s="82">
        <f t="shared" si="5"/>
        <v>51.916800000000002</v>
      </c>
      <c r="Q49" s="2"/>
      <c r="T49" s="92" t="s">
        <v>121</v>
      </c>
      <c r="U49" s="87" t="s">
        <v>345</v>
      </c>
      <c r="W49" s="131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5">
        <f t="shared" si="1"/>
        <v>-4.0808080808080849E-2</v>
      </c>
    </row>
    <row r="50" spans="2:31" x14ac:dyDescent="0.25">
      <c r="B50" s="263">
        <v>42562</v>
      </c>
      <c r="C50" s="272">
        <v>600</v>
      </c>
      <c r="D50" s="365">
        <v>38.552599999999998</v>
      </c>
      <c r="E50" s="259">
        <v>38.119999999999997</v>
      </c>
      <c r="F50" s="259">
        <f t="shared" si="6"/>
        <v>-259.56000000000046</v>
      </c>
      <c r="G50" s="259">
        <f t="shared" si="7"/>
        <v>23131.559999999998</v>
      </c>
      <c r="H50" s="273">
        <f t="shared" si="8"/>
        <v>-1.1221033082074899E-2</v>
      </c>
      <c r="I50" s="259"/>
      <c r="O50" s="82">
        <v>1.03</v>
      </c>
      <c r="P50" s="82">
        <f t="shared" si="5"/>
        <v>51.4176</v>
      </c>
      <c r="Q50" s="2"/>
      <c r="T50" s="92"/>
      <c r="U50" s="87"/>
      <c r="W50" s="131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5">
        <f t="shared" si="1"/>
        <v>-2.3668639053254448E-2</v>
      </c>
    </row>
    <row r="51" spans="2:31" x14ac:dyDescent="0.25">
      <c r="B51" s="263">
        <v>42563</v>
      </c>
      <c r="C51" s="258">
        <v>500</v>
      </c>
      <c r="D51" s="259">
        <v>38.395200000000003</v>
      </c>
      <c r="E51" s="259">
        <v>40.21</v>
      </c>
      <c r="F51" s="259">
        <f t="shared" si="6"/>
        <v>907.39999999999907</v>
      </c>
      <c r="G51" s="259">
        <f t="shared" si="7"/>
        <v>19197.600000000002</v>
      </c>
      <c r="H51" s="273">
        <f t="shared" si="8"/>
        <v>4.7266324957286276E-2</v>
      </c>
      <c r="I51" s="259"/>
      <c r="O51" s="82">
        <v>1.02</v>
      </c>
      <c r="P51" s="82">
        <f>O51*$Q$4</f>
        <v>50.918400000000005</v>
      </c>
      <c r="Q51" s="2"/>
      <c r="T51" s="92" t="s">
        <v>104</v>
      </c>
      <c r="U51" s="87" t="s">
        <v>707</v>
      </c>
      <c r="W51" s="131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5">
        <f t="shared" si="1"/>
        <v>1.4202840568113606E-2</v>
      </c>
    </row>
    <row r="52" spans="2:31" x14ac:dyDescent="0.25">
      <c r="B52" s="263">
        <v>42566</v>
      </c>
      <c r="C52" s="258">
        <v>400</v>
      </c>
      <c r="D52" s="259">
        <v>37.874299999999998</v>
      </c>
      <c r="E52" s="259">
        <v>39.979999999999997</v>
      </c>
      <c r="F52" s="259">
        <f t="shared" si="6"/>
        <v>842.27999999999952</v>
      </c>
      <c r="G52" s="259">
        <f t="shared" si="7"/>
        <v>15149.72</v>
      </c>
      <c r="H52" s="273">
        <f t="shared" si="8"/>
        <v>5.559706714051478E-2</v>
      </c>
      <c r="I52" s="259"/>
      <c r="O52" s="82">
        <v>1.01</v>
      </c>
      <c r="P52" s="82">
        <f t="shared" si="5"/>
        <v>50.419200000000004</v>
      </c>
      <c r="Q52" s="2"/>
      <c r="T52" s="92" t="s">
        <v>105</v>
      </c>
      <c r="U52" s="87" t="s">
        <v>335</v>
      </c>
      <c r="W52" s="131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5">
        <f t="shared" si="1"/>
        <v>1.523151909017062E-2</v>
      </c>
    </row>
    <row r="53" spans="2:31" x14ac:dyDescent="0.25">
      <c r="B53" s="263">
        <v>42569</v>
      </c>
      <c r="C53" s="258">
        <v>400</v>
      </c>
      <c r="D53" s="259">
        <v>37.874299999999998</v>
      </c>
      <c r="E53" s="259">
        <v>40.1</v>
      </c>
      <c r="F53" s="259">
        <f t="shared" si="6"/>
        <v>890.28000000000134</v>
      </c>
      <c r="G53" s="259">
        <f t="shared" si="7"/>
        <v>15149.72</v>
      </c>
      <c r="H53" s="273">
        <f t="shared" si="8"/>
        <v>5.8765442529631E-2</v>
      </c>
      <c r="I53" s="259"/>
      <c r="O53" s="82">
        <v>1</v>
      </c>
      <c r="P53" s="82">
        <f t="shared" si="5"/>
        <v>49.92</v>
      </c>
      <c r="Q53" s="2"/>
      <c r="T53" s="92" t="s">
        <v>106</v>
      </c>
      <c r="U53" s="89">
        <v>8313359</v>
      </c>
      <c r="W53" s="131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5">
        <f t="shared" si="1"/>
        <v>1.3585837793330668E-2</v>
      </c>
    </row>
    <row r="54" spans="2:31" x14ac:dyDescent="0.25">
      <c r="B54" s="263">
        <v>42570</v>
      </c>
      <c r="C54" s="258">
        <v>400</v>
      </c>
      <c r="D54" s="259">
        <v>37.874299999999998</v>
      </c>
      <c r="E54" s="259">
        <v>40.53</v>
      </c>
      <c r="F54" s="259">
        <f t="shared" si="6"/>
        <v>1062.2800000000011</v>
      </c>
      <c r="G54" s="259">
        <f t="shared" si="7"/>
        <v>15149.72</v>
      </c>
      <c r="H54" s="273">
        <f t="shared" si="8"/>
        <v>7.0118787673963692E-2</v>
      </c>
      <c r="I54" s="259"/>
      <c r="O54" s="82">
        <v>0.99</v>
      </c>
      <c r="P54" s="82">
        <f t="shared" si="5"/>
        <v>49.4208</v>
      </c>
      <c r="T54" s="92" t="s">
        <v>109</v>
      </c>
      <c r="U54" s="89">
        <v>8382980</v>
      </c>
      <c r="W54" s="131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5">
        <f t="shared" si="1"/>
        <v>-3.4194831013916516E-2</v>
      </c>
    </row>
    <row r="55" spans="2:31" x14ac:dyDescent="0.25">
      <c r="B55" s="263">
        <v>42571</v>
      </c>
      <c r="C55" s="272">
        <v>300</v>
      </c>
      <c r="D55" s="365">
        <v>36.805999999999997</v>
      </c>
      <c r="E55" s="365">
        <v>40.21</v>
      </c>
      <c r="F55" s="259">
        <f t="shared" si="6"/>
        <v>1021.2000000000011</v>
      </c>
      <c r="G55" s="259">
        <f t="shared" si="7"/>
        <v>11041.8</v>
      </c>
      <c r="H55" s="273">
        <f t="shared" si="8"/>
        <v>9.2484920936803883E-2</v>
      </c>
      <c r="I55" s="259"/>
      <c r="O55" s="82">
        <v>0.98</v>
      </c>
      <c r="P55" s="82">
        <f t="shared" si="5"/>
        <v>48.921599999999998</v>
      </c>
      <c r="T55" s="92" t="s">
        <v>107</v>
      </c>
      <c r="U55" s="87" t="s">
        <v>630</v>
      </c>
      <c r="W55" s="131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5">
        <f t="shared" si="1"/>
        <v>1.6161616161616044E-2</v>
      </c>
    </row>
    <row r="56" spans="2:31" x14ac:dyDescent="0.25">
      <c r="B56" s="263">
        <v>42572</v>
      </c>
      <c r="C56" s="258">
        <v>350</v>
      </c>
      <c r="D56" s="259">
        <v>37.059399999999997</v>
      </c>
      <c r="E56" s="259">
        <v>38.520000000000003</v>
      </c>
      <c r="F56" s="259">
        <f t="shared" si="6"/>
        <v>511.21000000000231</v>
      </c>
      <c r="G56" s="259">
        <f t="shared" si="7"/>
        <v>12970.789999999999</v>
      </c>
      <c r="H56" s="273">
        <f t="shared" si="8"/>
        <v>3.9412402791194859E-2</v>
      </c>
      <c r="I56" s="259"/>
      <c r="O56" s="82">
        <v>0.97</v>
      </c>
      <c r="P56" s="82">
        <f t="shared" si="5"/>
        <v>48.422400000000003</v>
      </c>
      <c r="T56" s="92" t="s">
        <v>110</v>
      </c>
      <c r="U56" s="87">
        <v>7.79</v>
      </c>
      <c r="W56" s="131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5">
        <f t="shared" si="1"/>
        <v>-1.19760479041916E-2</v>
      </c>
    </row>
    <row r="57" spans="2:31" x14ac:dyDescent="0.25">
      <c r="B57" s="263">
        <v>42575</v>
      </c>
      <c r="C57" s="258">
        <v>350</v>
      </c>
      <c r="D57" s="259">
        <v>37.059399999999997</v>
      </c>
      <c r="E57" s="259">
        <v>38.96</v>
      </c>
      <c r="F57" s="259">
        <f t="shared" si="6"/>
        <v>665.21000000000151</v>
      </c>
      <c r="G57" s="259">
        <f t="shared" si="7"/>
        <v>12970.789999999999</v>
      </c>
      <c r="H57" s="273">
        <f t="shared" si="8"/>
        <v>5.1285233975725576E-2</v>
      </c>
      <c r="I57" s="259"/>
      <c r="O57" s="82">
        <v>0.96</v>
      </c>
      <c r="P57" s="82">
        <f t="shared" si="5"/>
        <v>47.923200000000001</v>
      </c>
      <c r="T57" s="92" t="s">
        <v>111</v>
      </c>
      <c r="U57" s="87">
        <v>5.79</v>
      </c>
      <c r="W57" s="131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5">
        <f t="shared" si="1"/>
        <v>-5.9844404548181629E-4</v>
      </c>
    </row>
    <row r="58" spans="2:31" x14ac:dyDescent="0.25">
      <c r="B58" s="263">
        <v>42577</v>
      </c>
      <c r="C58" s="258">
        <v>350</v>
      </c>
      <c r="D58" s="259">
        <v>37.059399999999997</v>
      </c>
      <c r="E58" s="259">
        <v>39.03</v>
      </c>
      <c r="F58" s="259">
        <f t="shared" si="6"/>
        <v>689.71000000000163</v>
      </c>
      <c r="G58" s="259">
        <f t="shared" si="7"/>
        <v>12970.789999999999</v>
      </c>
      <c r="H58" s="273">
        <f t="shared" si="8"/>
        <v>5.3174093482355481E-2</v>
      </c>
      <c r="I58" s="259"/>
      <c r="O58" s="82">
        <v>0.95</v>
      </c>
      <c r="P58" s="82">
        <f t="shared" si="5"/>
        <v>47.423999999999999</v>
      </c>
      <c r="T58" s="92" t="s">
        <v>108</v>
      </c>
      <c r="U58" s="87" t="s">
        <v>596</v>
      </c>
      <c r="W58" s="131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5">
        <f t="shared" si="1"/>
        <v>-1.7636684303350969E-2</v>
      </c>
    </row>
    <row r="59" spans="2:31" x14ac:dyDescent="0.25">
      <c r="B59" s="263">
        <v>42580</v>
      </c>
      <c r="C59" s="258">
        <v>300</v>
      </c>
      <c r="D59" s="259">
        <v>36.606099999999998</v>
      </c>
      <c r="E59" s="259">
        <v>39.659999999999997</v>
      </c>
      <c r="F59" s="259">
        <f t="shared" si="6"/>
        <v>916.16999999999962</v>
      </c>
      <c r="G59" s="259">
        <f t="shared" si="7"/>
        <v>10981.83</v>
      </c>
      <c r="H59" s="273">
        <f t="shared" si="8"/>
        <v>8.3425986379319264E-2</v>
      </c>
      <c r="I59" s="259">
        <v>36</v>
      </c>
      <c r="O59" s="82">
        <v>0.94</v>
      </c>
      <c r="P59" s="82">
        <f t="shared" si="5"/>
        <v>46.924799999999998</v>
      </c>
      <c r="W59" s="131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5">
        <f t="shared" si="1"/>
        <v>6.7074373643718488E-3</v>
      </c>
    </row>
    <row r="60" spans="2:31" x14ac:dyDescent="0.25">
      <c r="B60" s="263">
        <v>42580</v>
      </c>
      <c r="C60" s="258">
        <v>350</v>
      </c>
      <c r="D60" s="259">
        <v>36.945300000000003</v>
      </c>
      <c r="E60" s="259">
        <v>38.75</v>
      </c>
      <c r="F60" s="259">
        <f t="shared" si="6"/>
        <v>631.64499999999884</v>
      </c>
      <c r="G60" s="259">
        <f t="shared" si="7"/>
        <v>12930.855000000001</v>
      </c>
      <c r="H60" s="273">
        <f t="shared" si="8"/>
        <v>4.8847891342065075E-2</v>
      </c>
      <c r="I60" s="259"/>
      <c r="O60" s="82">
        <v>0.93</v>
      </c>
      <c r="P60" s="82">
        <f t="shared" si="5"/>
        <v>46.425600000000003</v>
      </c>
      <c r="W60" s="131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5">
        <f t="shared" si="1"/>
        <v>-1.0733801717408342E-2</v>
      </c>
    </row>
    <row r="61" spans="2:31" x14ac:dyDescent="0.25">
      <c r="B61" s="263">
        <v>42584</v>
      </c>
      <c r="C61" s="258">
        <v>400</v>
      </c>
      <c r="D61" s="259">
        <v>37.037100000000002</v>
      </c>
      <c r="E61" s="259">
        <v>36.39</v>
      </c>
      <c r="F61" s="259">
        <f t="shared" si="6"/>
        <v>-258.84000000000071</v>
      </c>
      <c r="G61" s="259">
        <f t="shared" si="7"/>
        <v>14814.84</v>
      </c>
      <c r="H61" s="273">
        <f t="shared" si="8"/>
        <v>-1.747167029816054E-2</v>
      </c>
      <c r="I61" s="259">
        <v>36.5</v>
      </c>
      <c r="O61" s="82">
        <v>0.92</v>
      </c>
      <c r="P61" s="82">
        <f t="shared" si="5"/>
        <v>45.926400000000001</v>
      </c>
      <c r="W61" s="131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5">
        <f t="shared" si="1"/>
        <v>1.0053222945002993E-2</v>
      </c>
    </row>
    <row r="62" spans="2:31" x14ac:dyDescent="0.25">
      <c r="B62" s="263">
        <v>42597</v>
      </c>
      <c r="C62" s="258">
        <v>400</v>
      </c>
      <c r="D62" s="259">
        <v>37.037100000000002</v>
      </c>
      <c r="E62" s="259">
        <v>36.92</v>
      </c>
      <c r="F62" s="259">
        <f t="shared" si="6"/>
        <v>-46.840000000000259</v>
      </c>
      <c r="G62" s="259">
        <f t="shared" si="7"/>
        <v>14814.84</v>
      </c>
      <c r="H62" s="273">
        <f t="shared" si="8"/>
        <v>-3.1616946251191544E-3</v>
      </c>
      <c r="I62" s="259"/>
      <c r="O62" s="82">
        <v>0.91</v>
      </c>
      <c r="P62" s="82">
        <f t="shared" si="5"/>
        <v>45.427200000000006</v>
      </c>
      <c r="W62" s="131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5">
        <f t="shared" si="1"/>
        <v>2.5055566781167826E-2</v>
      </c>
    </row>
    <row r="63" spans="2:31" x14ac:dyDescent="0.25">
      <c r="B63" s="263">
        <v>42599</v>
      </c>
      <c r="C63" s="258">
        <v>400</v>
      </c>
      <c r="D63" s="259">
        <v>37.037100000000002</v>
      </c>
      <c r="E63" s="259">
        <v>37.51</v>
      </c>
      <c r="F63" s="259">
        <f t="shared" si="6"/>
        <v>189.15999999999826</v>
      </c>
      <c r="G63" s="259">
        <f t="shared" si="7"/>
        <v>14814.84</v>
      </c>
      <c r="H63" s="273">
        <f t="shared" si="8"/>
        <v>1.2768278293926781E-2</v>
      </c>
      <c r="I63" s="259"/>
      <c r="O63" s="82">
        <v>0.9</v>
      </c>
      <c r="P63" s="82">
        <f t="shared" si="5"/>
        <v>44.928000000000004</v>
      </c>
      <c r="W63" s="131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5">
        <f t="shared" si="1"/>
        <v>2.0210185933722258E-4</v>
      </c>
    </row>
    <row r="64" spans="2:31" x14ac:dyDescent="0.25">
      <c r="B64" s="263">
        <v>42600</v>
      </c>
      <c r="C64" s="258">
        <v>400</v>
      </c>
      <c r="D64" s="259">
        <v>37.037100000000002</v>
      </c>
      <c r="E64" s="259">
        <v>37.07</v>
      </c>
      <c r="F64" s="259">
        <f t="shared" si="6"/>
        <v>13.159999999999172</v>
      </c>
      <c r="G64" s="259">
        <f t="shared" si="7"/>
        <v>14814.84</v>
      </c>
      <c r="H64" s="273">
        <f t="shared" si="8"/>
        <v>8.8829848989251125E-4</v>
      </c>
      <c r="I64" s="259"/>
      <c r="W64" s="131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5">
        <f t="shared" si="1"/>
        <v>-1.0094891984656629E-3</v>
      </c>
    </row>
    <row r="65" spans="2:31" x14ac:dyDescent="0.25">
      <c r="B65" s="263">
        <v>42601</v>
      </c>
      <c r="C65" s="258">
        <v>400</v>
      </c>
      <c r="D65" s="259">
        <v>37.037100000000002</v>
      </c>
      <c r="E65" s="259">
        <v>36.770000000000003</v>
      </c>
      <c r="F65" s="259">
        <f t="shared" si="6"/>
        <v>-106.83999999999969</v>
      </c>
      <c r="G65" s="259">
        <f t="shared" si="7"/>
        <v>14814.84</v>
      </c>
      <c r="H65" s="273">
        <f t="shared" si="8"/>
        <v>-7.2116877401308208E-3</v>
      </c>
      <c r="I65" s="259"/>
      <c r="W65" s="131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5">
        <f t="shared" si="1"/>
        <v>-1.9207920792079225E-2</v>
      </c>
    </row>
    <row r="66" spans="2:31" x14ac:dyDescent="0.25">
      <c r="B66" s="263">
        <v>42604</v>
      </c>
      <c r="C66" s="258">
        <v>400</v>
      </c>
      <c r="D66" s="259">
        <v>37.037100000000002</v>
      </c>
      <c r="E66" s="259">
        <v>36.61</v>
      </c>
      <c r="F66" s="259">
        <f t="shared" si="6"/>
        <v>-170.84000000000117</v>
      </c>
      <c r="G66" s="259">
        <f t="shared" si="7"/>
        <v>14814.84</v>
      </c>
      <c r="H66" s="273">
        <f t="shared" si="8"/>
        <v>-1.1531680396143405E-2</v>
      </c>
      <c r="I66" s="259"/>
      <c r="W66" s="131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5">
        <f t="shared" si="1"/>
        <v>2.4756493506493449E-2</v>
      </c>
    </row>
    <row r="67" spans="2:31" x14ac:dyDescent="0.25">
      <c r="B67" s="263">
        <v>42605</v>
      </c>
      <c r="C67" s="258">
        <v>400</v>
      </c>
      <c r="D67" s="259">
        <v>37.037100000000002</v>
      </c>
      <c r="E67" s="259">
        <v>36.69</v>
      </c>
      <c r="F67" s="259">
        <f t="shared" si="6"/>
        <v>-138.84000000000185</v>
      </c>
      <c r="G67" s="259">
        <f t="shared" si="7"/>
        <v>14814.84</v>
      </c>
      <c r="H67" s="273">
        <f t="shared" si="8"/>
        <v>-9.3716840681372093E-3</v>
      </c>
      <c r="I67" s="259"/>
      <c r="W67" s="131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5" t="e">
        <f>AC67/#REF!-1</f>
        <v>#REF!</v>
      </c>
    </row>
    <row r="68" spans="2:31" x14ac:dyDescent="0.25">
      <c r="B68" s="263">
        <v>42606</v>
      </c>
      <c r="C68" s="258">
        <v>400</v>
      </c>
      <c r="D68" s="259">
        <v>37.037100000000002</v>
      </c>
      <c r="E68" s="259">
        <v>36.770000000000003</v>
      </c>
      <c r="F68" s="259">
        <f t="shared" si="6"/>
        <v>-106.83999999999969</v>
      </c>
      <c r="G68" s="259">
        <f t="shared" si="7"/>
        <v>14814.84</v>
      </c>
      <c r="H68" s="273">
        <f t="shared" si="8"/>
        <v>-7.2116877401308208E-3</v>
      </c>
      <c r="I68" s="259"/>
      <c r="W68" s="131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5" t="e">
        <f>#REF!/AC69-1</f>
        <v>#REF!</v>
      </c>
    </row>
    <row r="69" spans="2:31" x14ac:dyDescent="0.25">
      <c r="B69" s="263">
        <v>42607</v>
      </c>
      <c r="C69" s="258">
        <v>400</v>
      </c>
      <c r="D69" s="259">
        <v>37.037100000000002</v>
      </c>
      <c r="E69" s="259">
        <v>36.47</v>
      </c>
      <c r="F69" s="259">
        <f t="shared" si="6"/>
        <v>-226.8400000000014</v>
      </c>
      <c r="G69" s="259">
        <f t="shared" si="7"/>
        <v>14814.84</v>
      </c>
      <c r="H69" s="273">
        <f t="shared" si="8"/>
        <v>-1.5311673970154344E-2</v>
      </c>
      <c r="I69" s="259"/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  <row r="70" spans="2:31" x14ac:dyDescent="0.25">
      <c r="B70" s="263">
        <v>42611</v>
      </c>
      <c r="C70" s="258">
        <v>400</v>
      </c>
      <c r="D70" s="259">
        <v>37.037100000000002</v>
      </c>
      <c r="E70" s="259">
        <v>36.549999999999997</v>
      </c>
      <c r="F70" s="259">
        <f t="shared" si="6"/>
        <v>-194.84000000000208</v>
      </c>
      <c r="G70" s="259">
        <f t="shared" si="7"/>
        <v>14814.84</v>
      </c>
      <c r="H70" s="273">
        <f t="shared" si="8"/>
        <v>-1.3151677642148148E-2</v>
      </c>
      <c r="I70" s="259"/>
    </row>
    <row r="71" spans="2:31" x14ac:dyDescent="0.25">
      <c r="B71" s="263">
        <v>42612</v>
      </c>
      <c r="C71" s="258">
        <v>400</v>
      </c>
      <c r="D71" s="259">
        <v>37.037100000000002</v>
      </c>
      <c r="E71" s="259">
        <v>37.159999999999997</v>
      </c>
      <c r="F71" s="259">
        <f t="shared" si="6"/>
        <v>49.159999999997694</v>
      </c>
      <c r="G71" s="259">
        <f t="shared" si="7"/>
        <v>14814.84</v>
      </c>
      <c r="H71" s="273">
        <f t="shared" si="8"/>
        <v>3.3182943588994339E-3</v>
      </c>
      <c r="I71" s="259"/>
    </row>
    <row r="72" spans="2:31" x14ac:dyDescent="0.25">
      <c r="B72" s="263">
        <v>42614</v>
      </c>
      <c r="C72" s="258">
        <v>400</v>
      </c>
      <c r="D72" s="259">
        <v>37.037100000000002</v>
      </c>
      <c r="E72" s="259">
        <v>36.82</v>
      </c>
      <c r="F72" s="259">
        <f t="shared" si="6"/>
        <v>-86.840000000000828</v>
      </c>
      <c r="G72" s="259">
        <f t="shared" si="7"/>
        <v>14814.84</v>
      </c>
      <c r="H72" s="273">
        <f t="shared" si="8"/>
        <v>-5.8616900351269961E-3</v>
      </c>
      <c r="I72" s="259"/>
    </row>
    <row r="73" spans="2:31" x14ac:dyDescent="0.25">
      <c r="B73" s="263">
        <v>42615</v>
      </c>
      <c r="C73" s="258">
        <v>400</v>
      </c>
      <c r="D73" s="259">
        <v>37.037100000000002</v>
      </c>
      <c r="E73" s="259">
        <v>37.17</v>
      </c>
      <c r="F73" s="259">
        <f t="shared" si="6"/>
        <v>53.159999999999741</v>
      </c>
      <c r="G73" s="259">
        <f t="shared" si="7"/>
        <v>14814.84</v>
      </c>
      <c r="H73" s="273">
        <f t="shared" si="8"/>
        <v>3.5882938999003524E-3</v>
      </c>
      <c r="I73" s="259"/>
    </row>
    <row r="74" spans="2:31" x14ac:dyDescent="0.25">
      <c r="B74" s="263">
        <v>42615</v>
      </c>
      <c r="C74" s="258">
        <v>400</v>
      </c>
      <c r="D74" s="259">
        <v>36.834600000000002</v>
      </c>
      <c r="E74" s="259">
        <v>37.17</v>
      </c>
      <c r="F74" s="259">
        <f t="shared" si="6"/>
        <v>134.15999999999997</v>
      </c>
      <c r="G74" s="259">
        <f t="shared" si="7"/>
        <v>14733.84</v>
      </c>
      <c r="H74" s="273">
        <f t="shared" si="8"/>
        <v>9.1055692202440079E-3</v>
      </c>
      <c r="I74" s="259" t="s">
        <v>268</v>
      </c>
    </row>
    <row r="75" spans="2:31" x14ac:dyDescent="0.25">
      <c r="B75" s="263">
        <v>42619</v>
      </c>
      <c r="C75" s="258">
        <v>400</v>
      </c>
      <c r="D75" s="259">
        <v>36.834600000000002</v>
      </c>
      <c r="E75" s="259">
        <v>36.82</v>
      </c>
      <c r="F75" s="259">
        <f t="shared" si="6"/>
        <v>-5.8400000000006003</v>
      </c>
      <c r="G75" s="259">
        <f t="shared" si="7"/>
        <v>14733.84</v>
      </c>
      <c r="H75" s="273">
        <f t="shared" si="8"/>
        <v>-3.9636645979599343E-4</v>
      </c>
      <c r="I75" s="259"/>
    </row>
    <row r="76" spans="2:31" x14ac:dyDescent="0.25">
      <c r="B76" s="263">
        <v>42620</v>
      </c>
      <c r="C76" s="258">
        <v>350</v>
      </c>
      <c r="D76" s="259">
        <v>36.642400000000002</v>
      </c>
      <c r="E76" s="259">
        <v>38.9</v>
      </c>
      <c r="F76" s="259">
        <f t="shared" si="6"/>
        <v>790.15999999999872</v>
      </c>
      <c r="G76" s="259">
        <f t="shared" si="7"/>
        <v>12824.84</v>
      </c>
      <c r="H76" s="273">
        <f t="shared" si="8"/>
        <v>6.1611684824138056E-2</v>
      </c>
      <c r="I76" s="259"/>
    </row>
    <row r="77" spans="2:31" x14ac:dyDescent="0.25">
      <c r="B77" s="263">
        <v>42620</v>
      </c>
      <c r="C77" s="258">
        <v>300</v>
      </c>
      <c r="D77" s="259">
        <v>36.269399999999997</v>
      </c>
      <c r="E77" s="259">
        <v>38.9</v>
      </c>
      <c r="F77" s="259">
        <f t="shared" si="6"/>
        <v>789.18000000000029</v>
      </c>
      <c r="G77" s="259">
        <f t="shared" si="7"/>
        <v>10880.82</v>
      </c>
      <c r="H77" s="273">
        <f t="shared" si="8"/>
        <v>7.2529460095838397E-2</v>
      </c>
      <c r="I77" s="259">
        <v>36</v>
      </c>
    </row>
    <row r="78" spans="2:31" x14ac:dyDescent="0.25">
      <c r="B78" s="263">
        <v>42620</v>
      </c>
      <c r="C78" s="258">
        <v>250</v>
      </c>
      <c r="D78" s="259">
        <v>35.705300000000001</v>
      </c>
      <c r="E78" s="259">
        <v>38.9</v>
      </c>
      <c r="F78" s="259">
        <f t="shared" si="6"/>
        <v>798.67499999999939</v>
      </c>
      <c r="G78" s="259">
        <f t="shared" si="7"/>
        <v>8926.3250000000007</v>
      </c>
      <c r="H78" s="273">
        <f t="shared" si="8"/>
        <v>8.9474111686500254E-2</v>
      </c>
      <c r="I78" s="259"/>
    </row>
    <row r="79" spans="2:31" x14ac:dyDescent="0.25">
      <c r="B79" s="263">
        <v>42622</v>
      </c>
      <c r="C79" s="258">
        <v>250</v>
      </c>
      <c r="D79" s="259">
        <v>35.705300000000001</v>
      </c>
      <c r="E79" s="259">
        <v>37.75</v>
      </c>
      <c r="F79" s="259">
        <f t="shared" si="6"/>
        <v>511.17499999999973</v>
      </c>
      <c r="G79" s="259">
        <f t="shared" si="7"/>
        <v>8926.3250000000007</v>
      </c>
      <c r="H79" s="273">
        <f t="shared" si="8"/>
        <v>5.7266008127644881E-2</v>
      </c>
      <c r="I79" s="259"/>
    </row>
    <row r="80" spans="2:31" x14ac:dyDescent="0.25">
      <c r="B80" s="263">
        <v>42625</v>
      </c>
      <c r="C80" s="258">
        <v>250</v>
      </c>
      <c r="D80" s="259">
        <v>35.705300000000001</v>
      </c>
      <c r="E80" s="259">
        <v>38.44</v>
      </c>
      <c r="F80" s="259">
        <f t="shared" si="6"/>
        <v>683.67499999999916</v>
      </c>
      <c r="G80" s="259">
        <f t="shared" si="7"/>
        <v>8926.3250000000007</v>
      </c>
      <c r="H80" s="273">
        <f t="shared" si="8"/>
        <v>7.6590870262958063E-2</v>
      </c>
      <c r="I80" s="259"/>
    </row>
    <row r="81" spans="2:9" x14ac:dyDescent="0.25">
      <c r="B81" s="263">
        <v>42627</v>
      </c>
      <c r="C81" s="258">
        <v>250</v>
      </c>
      <c r="D81" s="259">
        <v>35.705300000000001</v>
      </c>
      <c r="E81" s="259">
        <v>37.119999999999997</v>
      </c>
      <c r="F81" s="259">
        <f t="shared" si="6"/>
        <v>353.67499999999905</v>
      </c>
      <c r="G81" s="259">
        <f t="shared" si="7"/>
        <v>8926.3250000000007</v>
      </c>
      <c r="H81" s="273">
        <f t="shared" si="8"/>
        <v>3.9621568786706633E-2</v>
      </c>
      <c r="I81" s="259"/>
    </row>
    <row r="82" spans="2:9" x14ac:dyDescent="0.25">
      <c r="B82" s="263">
        <v>42629</v>
      </c>
      <c r="C82" s="258">
        <v>250</v>
      </c>
      <c r="D82" s="259">
        <v>35.705300000000001</v>
      </c>
      <c r="E82" s="259">
        <v>36.770000000000003</v>
      </c>
      <c r="F82" s="259">
        <f t="shared" si="6"/>
        <v>266.17500000000052</v>
      </c>
      <c r="G82" s="259">
        <f t="shared" si="7"/>
        <v>8926.3250000000007</v>
      </c>
      <c r="H82" s="273">
        <f t="shared" si="8"/>
        <v>2.9819102486185578E-2</v>
      </c>
      <c r="I82" s="259"/>
    </row>
    <row r="83" spans="2:9" x14ac:dyDescent="0.25">
      <c r="B83" s="263">
        <v>42632</v>
      </c>
      <c r="C83" s="258">
        <v>250</v>
      </c>
      <c r="D83" s="259">
        <v>35.705300000000001</v>
      </c>
      <c r="E83" s="259">
        <v>37.57</v>
      </c>
      <c r="F83" s="259">
        <f t="shared" si="6"/>
        <v>466.17499999999978</v>
      </c>
      <c r="G83" s="259">
        <f t="shared" si="7"/>
        <v>8926.3250000000007</v>
      </c>
      <c r="H83" s="273">
        <f t="shared" si="8"/>
        <v>5.2224739744519695E-2</v>
      </c>
      <c r="I83" s="259"/>
    </row>
    <row r="84" spans="2:9" x14ac:dyDescent="0.25">
      <c r="B84" s="263">
        <v>42633</v>
      </c>
      <c r="C84" s="258">
        <v>250</v>
      </c>
      <c r="D84" s="259">
        <v>35.705300000000001</v>
      </c>
      <c r="E84" s="259">
        <v>38.049999999999997</v>
      </c>
      <c r="F84" s="259">
        <f t="shared" si="6"/>
        <v>586.17499999999905</v>
      </c>
      <c r="G84" s="259">
        <f t="shared" si="7"/>
        <v>8926.3250000000007</v>
      </c>
      <c r="H84" s="273">
        <f t="shared" si="8"/>
        <v>6.5668122099520124E-2</v>
      </c>
      <c r="I84" s="259"/>
    </row>
    <row r="85" spans="2:9" x14ac:dyDescent="0.25">
      <c r="B85" s="263">
        <v>42635</v>
      </c>
      <c r="C85" s="258">
        <v>250</v>
      </c>
      <c r="D85" s="259">
        <v>35.705300000000001</v>
      </c>
      <c r="E85" s="259">
        <v>38.5</v>
      </c>
      <c r="F85" s="259">
        <f t="shared" si="6"/>
        <v>698.67499999999973</v>
      </c>
      <c r="G85" s="259">
        <f t="shared" si="7"/>
        <v>8926.3250000000007</v>
      </c>
      <c r="H85" s="273">
        <f t="shared" si="8"/>
        <v>7.8271293057333186E-2</v>
      </c>
      <c r="I85" s="259"/>
    </row>
    <row r="86" spans="2:9" x14ac:dyDescent="0.25">
      <c r="B86" s="263">
        <v>42636</v>
      </c>
      <c r="C86" s="258">
        <v>250</v>
      </c>
      <c r="D86" s="259">
        <v>35.705300000000001</v>
      </c>
      <c r="E86" s="259">
        <v>38.78</v>
      </c>
      <c r="F86" s="259">
        <f t="shared" si="6"/>
        <v>768.67499999999995</v>
      </c>
      <c r="G86" s="259">
        <f t="shared" si="7"/>
        <v>8926.3250000000007</v>
      </c>
      <c r="H86" s="273">
        <f t="shared" si="8"/>
        <v>8.6113266097750191E-2</v>
      </c>
      <c r="I86" s="259"/>
    </row>
    <row r="87" spans="2:9" x14ac:dyDescent="0.25">
      <c r="B87" s="263">
        <v>42639</v>
      </c>
      <c r="C87" s="258">
        <v>250</v>
      </c>
      <c r="D87" s="259">
        <v>35.705300000000001</v>
      </c>
      <c r="E87" s="259">
        <v>38.04</v>
      </c>
      <c r="F87" s="259">
        <f t="shared" si="6"/>
        <v>583.6749999999995</v>
      </c>
      <c r="G87" s="259">
        <f t="shared" si="7"/>
        <v>8926.3250000000007</v>
      </c>
      <c r="H87" s="273">
        <f t="shared" si="8"/>
        <v>6.5388051633791008E-2</v>
      </c>
      <c r="I87" s="259"/>
    </row>
    <row r="88" spans="2:9" x14ac:dyDescent="0.25">
      <c r="B88" s="263">
        <v>42640</v>
      </c>
      <c r="C88" s="258">
        <v>250</v>
      </c>
      <c r="D88" s="259">
        <v>35.705300000000001</v>
      </c>
      <c r="E88" s="259">
        <v>39.21</v>
      </c>
      <c r="F88" s="259">
        <f t="shared" si="6"/>
        <v>876.17499999999995</v>
      </c>
      <c r="G88" s="259">
        <f t="shared" si="7"/>
        <v>8926.3250000000007</v>
      </c>
      <c r="H88" s="273">
        <f t="shared" si="8"/>
        <v>9.8156296124104814E-2</v>
      </c>
      <c r="I88" s="259"/>
    </row>
    <row r="89" spans="2:9" x14ac:dyDescent="0.25">
      <c r="B89" s="263">
        <v>42641</v>
      </c>
      <c r="C89" s="258">
        <v>0</v>
      </c>
      <c r="D89" s="259"/>
      <c r="E89" s="259"/>
      <c r="F89" s="259">
        <v>993.45</v>
      </c>
      <c r="G89" s="259"/>
      <c r="H89" s="273"/>
      <c r="I89" s="259"/>
    </row>
    <row r="90" spans="2:9" x14ac:dyDescent="0.25">
      <c r="B90" s="190"/>
      <c r="C90" s="10"/>
      <c r="D90" s="40"/>
      <c r="E90" s="40"/>
      <c r="F90" s="40"/>
      <c r="G90" s="40"/>
      <c r="H90" s="228"/>
      <c r="I90" s="40"/>
    </row>
    <row r="91" spans="2:9" x14ac:dyDescent="0.25">
      <c r="B91" s="190"/>
      <c r="C91" s="10"/>
      <c r="D91" s="40"/>
      <c r="E91" s="40"/>
      <c r="F91" s="40"/>
      <c r="G91" s="40"/>
      <c r="H91" s="228"/>
      <c r="I91" s="40"/>
    </row>
    <row r="92" spans="2:9" x14ac:dyDescent="0.25">
      <c r="B92" s="527"/>
      <c r="C92" s="188"/>
      <c r="D92" s="189"/>
      <c r="E92" s="189"/>
      <c r="F92" s="189"/>
      <c r="G92" s="189"/>
      <c r="H92" s="528"/>
      <c r="I92" s="189"/>
    </row>
    <row r="93" spans="2:9" x14ac:dyDescent="0.25">
      <c r="B93" s="190"/>
      <c r="C93" s="10"/>
      <c r="D93" s="40"/>
      <c r="E93" s="40"/>
      <c r="F93" s="40"/>
      <c r="G93" s="40"/>
      <c r="H93" s="228"/>
      <c r="I93" s="40"/>
    </row>
    <row r="94" spans="2:9" x14ac:dyDescent="0.25">
      <c r="B94" s="190"/>
      <c r="C94" s="10"/>
      <c r="D94" s="40"/>
      <c r="E94" s="40"/>
      <c r="F94" s="40"/>
      <c r="G94" s="40"/>
      <c r="H94" s="228"/>
      <c r="I94" s="40"/>
    </row>
    <row r="95" spans="2:9" x14ac:dyDescent="0.25">
      <c r="B95" s="190"/>
      <c r="C95" s="10"/>
      <c r="D95" s="40"/>
      <c r="E95" s="40"/>
      <c r="F95" s="40"/>
      <c r="G95" s="40"/>
      <c r="H95" s="228"/>
      <c r="I95" s="40"/>
    </row>
    <row r="96" spans="2:9" x14ac:dyDescent="0.25">
      <c r="B96" s="190"/>
      <c r="C96" s="10"/>
      <c r="D96" s="40"/>
      <c r="E96" s="40"/>
      <c r="F96" s="40"/>
      <c r="G96" s="40"/>
      <c r="H96" s="228"/>
      <c r="I96" s="40"/>
    </row>
    <row r="97" spans="1:13" x14ac:dyDescent="0.25">
      <c r="B97" s="190"/>
      <c r="C97" s="10"/>
      <c r="D97" s="40"/>
      <c r="E97" s="40"/>
      <c r="F97" s="40"/>
      <c r="G97" s="40"/>
      <c r="H97" s="228"/>
      <c r="I97" s="40"/>
    </row>
    <row r="98" spans="1:13" x14ac:dyDescent="0.25">
      <c r="B98" s="190"/>
      <c r="C98" s="10"/>
      <c r="D98" s="40"/>
      <c r="E98" s="40"/>
      <c r="F98" s="40"/>
      <c r="G98" s="40"/>
      <c r="H98" s="228"/>
      <c r="I98" s="40"/>
    </row>
    <row r="99" spans="1:13" x14ac:dyDescent="0.25">
      <c r="B99" s="190"/>
      <c r="C99" s="10"/>
      <c r="D99" s="40"/>
      <c r="E99" s="40"/>
      <c r="F99" s="40"/>
      <c r="G99" s="40"/>
      <c r="H99" s="228"/>
      <c r="I99" s="40"/>
    </row>
    <row r="100" spans="1:13" x14ac:dyDescent="0.25">
      <c r="B100" s="190"/>
      <c r="C100" s="10"/>
      <c r="D100" s="40"/>
      <c r="E100" s="40"/>
      <c r="F100" s="40"/>
      <c r="G100" s="40"/>
      <c r="H100" s="228"/>
      <c r="I100" s="40"/>
    </row>
    <row r="101" spans="1:13" x14ac:dyDescent="0.25">
      <c r="B101" s="190"/>
      <c r="C101" s="10"/>
      <c r="D101" s="40"/>
      <c r="E101" s="40"/>
      <c r="F101" s="40"/>
      <c r="G101" s="40"/>
      <c r="H101" s="228"/>
      <c r="I101" s="40"/>
    </row>
    <row r="102" spans="1:13" x14ac:dyDescent="0.25">
      <c r="B102" s="190"/>
      <c r="C102" s="10"/>
      <c r="D102" s="40"/>
      <c r="E102" s="40"/>
      <c r="F102" s="40"/>
      <c r="G102" s="40"/>
      <c r="H102" s="228"/>
      <c r="I102" s="40"/>
    </row>
    <row r="104" spans="1:13" x14ac:dyDescent="0.25">
      <c r="L104" t="s">
        <v>210</v>
      </c>
      <c r="M104" s="449">
        <f>M122+K122-F122</f>
        <v>205.01999999999998</v>
      </c>
    </row>
    <row r="105" spans="1:13" x14ac:dyDescent="0.25">
      <c r="A105" s="260" t="s">
        <v>1</v>
      </c>
      <c r="B105" s="260" t="s">
        <v>2</v>
      </c>
      <c r="C105" s="260" t="s">
        <v>4</v>
      </c>
      <c r="D105" s="261" t="s">
        <v>5</v>
      </c>
      <c r="E105" s="261" t="s">
        <v>94</v>
      </c>
      <c r="F105" s="261" t="s">
        <v>60</v>
      </c>
      <c r="G105" s="260" t="s">
        <v>3</v>
      </c>
      <c r="H105" s="260" t="s">
        <v>6</v>
      </c>
      <c r="I105" s="261" t="s">
        <v>7</v>
      </c>
      <c r="J105" s="261" t="s">
        <v>95</v>
      </c>
      <c r="K105" s="261" t="s">
        <v>61</v>
      </c>
      <c r="L105" s="260" t="s">
        <v>37</v>
      </c>
      <c r="M105" s="260" t="s">
        <v>38</v>
      </c>
    </row>
    <row r="106" spans="1:13" x14ac:dyDescent="0.25">
      <c r="A106" s="262" t="s">
        <v>32</v>
      </c>
      <c r="B106" s="263">
        <v>42405</v>
      </c>
      <c r="C106" s="258">
        <v>30</v>
      </c>
      <c r="D106" s="259">
        <v>41.95</v>
      </c>
      <c r="E106" s="259">
        <v>0</v>
      </c>
      <c r="F106" s="259">
        <f>D106*C106+E106</f>
        <v>1258.5</v>
      </c>
      <c r="G106" s="263">
        <v>42445</v>
      </c>
      <c r="H106" s="264">
        <v>30</v>
      </c>
      <c r="I106" s="259">
        <v>48.65</v>
      </c>
      <c r="J106" s="259">
        <v>0.03</v>
      </c>
      <c r="K106" s="259">
        <f>H106*I106-J106</f>
        <v>1459.47</v>
      </c>
      <c r="L106" s="263">
        <v>42438</v>
      </c>
      <c r="M106" s="258">
        <v>4.05</v>
      </c>
    </row>
    <row r="107" spans="1:13" x14ac:dyDescent="0.25">
      <c r="A107" s="265" t="s">
        <v>71</v>
      </c>
      <c r="B107" s="263"/>
      <c r="C107" s="258"/>
      <c r="D107" s="259"/>
      <c r="E107" s="259"/>
      <c r="F107" s="259"/>
      <c r="G107" s="263"/>
      <c r="H107" s="264"/>
      <c r="I107" s="259"/>
      <c r="J107" s="259"/>
      <c r="K107" s="259"/>
      <c r="L107" s="263"/>
      <c r="M107" s="259"/>
    </row>
    <row r="108" spans="1:13" x14ac:dyDescent="0.25">
      <c r="A108" s="258"/>
      <c r="B108" s="263"/>
      <c r="C108" s="258"/>
      <c r="D108" s="259"/>
      <c r="E108" s="259"/>
      <c r="F108" s="259"/>
      <c r="G108" s="263"/>
      <c r="H108" s="264"/>
      <c r="I108" s="259"/>
      <c r="J108" s="259"/>
      <c r="K108" s="259"/>
      <c r="L108" s="258"/>
      <c r="M108" s="258"/>
    </row>
    <row r="109" spans="1:13" x14ac:dyDescent="0.25">
      <c r="A109" s="258"/>
      <c r="B109" s="263"/>
      <c r="C109" s="258"/>
      <c r="D109" s="259"/>
      <c r="E109" s="259"/>
      <c r="F109" s="259"/>
      <c r="G109" s="263"/>
      <c r="H109" s="264"/>
      <c r="I109" s="259"/>
      <c r="J109" s="259"/>
      <c r="K109" s="259"/>
      <c r="L109" s="258"/>
      <c r="M109" s="258"/>
    </row>
    <row r="110" spans="1:13" x14ac:dyDescent="0.25">
      <c r="A110" s="258"/>
      <c r="B110" s="263"/>
      <c r="C110" s="258"/>
      <c r="D110" s="259"/>
      <c r="E110" s="259"/>
      <c r="F110" s="259"/>
      <c r="G110" s="258"/>
      <c r="H110" s="264"/>
      <c r="I110" s="259"/>
      <c r="J110" s="259"/>
      <c r="K110" s="259"/>
      <c r="L110" s="258"/>
      <c r="M110" s="258"/>
    </row>
    <row r="111" spans="1:13" x14ac:dyDescent="0.25">
      <c r="A111" s="258"/>
      <c r="B111" s="263"/>
      <c r="C111" s="258"/>
      <c r="D111" s="259"/>
      <c r="E111" s="259"/>
      <c r="F111" s="259"/>
      <c r="G111" s="258"/>
      <c r="H111" s="264"/>
      <c r="I111" s="259"/>
      <c r="J111" s="259"/>
      <c r="K111" s="259"/>
      <c r="L111" s="258"/>
      <c r="M111" s="258"/>
    </row>
    <row r="112" spans="1:13" x14ac:dyDescent="0.25">
      <c r="A112" s="258"/>
      <c r="B112" s="263"/>
      <c r="C112" s="258"/>
      <c r="D112" s="259"/>
      <c r="E112" s="259"/>
      <c r="F112" s="259"/>
      <c r="G112" s="258"/>
      <c r="H112" s="264"/>
      <c r="I112" s="259"/>
      <c r="J112" s="259"/>
      <c r="K112" s="259"/>
      <c r="L112" s="258"/>
      <c r="M112" s="258"/>
    </row>
    <row r="113" spans="1:13" x14ac:dyDescent="0.25">
      <c r="A113" s="258"/>
      <c r="B113" s="263"/>
      <c r="C113" s="258"/>
      <c r="D113" s="259"/>
      <c r="E113" s="259"/>
      <c r="F113" s="259"/>
      <c r="G113" s="258"/>
      <c r="H113" s="264"/>
      <c r="I113" s="259"/>
      <c r="J113" s="259"/>
      <c r="K113" s="259"/>
      <c r="L113" s="258"/>
      <c r="M113" s="258"/>
    </row>
    <row r="114" spans="1:13" x14ac:dyDescent="0.25">
      <c r="A114" s="258"/>
      <c r="B114" s="258"/>
      <c r="C114" s="258"/>
      <c r="D114" s="259"/>
      <c r="E114" s="259"/>
      <c r="F114" s="259"/>
      <c r="G114" s="258"/>
      <c r="H114" s="258"/>
      <c r="I114" s="259"/>
      <c r="J114" s="259"/>
      <c r="K114" s="259"/>
      <c r="L114" s="258"/>
      <c r="M114" s="258"/>
    </row>
    <row r="115" spans="1:13" x14ac:dyDescent="0.25">
      <c r="A115" s="258"/>
      <c r="B115" s="258"/>
      <c r="C115" s="258"/>
      <c r="D115" s="259"/>
      <c r="E115" s="259"/>
      <c r="F115" s="259"/>
      <c r="G115" s="258"/>
      <c r="H115" s="258"/>
      <c r="I115" s="259"/>
      <c r="J115" s="259"/>
      <c r="K115" s="259"/>
      <c r="L115" s="258"/>
      <c r="M115" s="258"/>
    </row>
    <row r="116" spans="1:13" x14ac:dyDescent="0.25">
      <c r="A116" s="258"/>
      <c r="B116" s="258"/>
      <c r="C116" s="258"/>
      <c r="D116" s="259"/>
      <c r="E116" s="259"/>
      <c r="F116" s="259"/>
      <c r="G116" s="258"/>
      <c r="H116" s="258"/>
      <c r="I116" s="259"/>
      <c r="J116" s="259"/>
      <c r="K116" s="259"/>
      <c r="L116" s="258"/>
      <c r="M116" s="258"/>
    </row>
    <row r="117" spans="1:13" x14ac:dyDescent="0.25">
      <c r="A117" s="258"/>
      <c r="B117" s="258"/>
      <c r="C117" s="258"/>
      <c r="D117" s="259"/>
      <c r="E117" s="259"/>
      <c r="F117" s="259"/>
      <c r="G117" s="258"/>
      <c r="H117" s="258"/>
      <c r="I117" s="259"/>
      <c r="J117" s="259"/>
      <c r="K117" s="259"/>
      <c r="L117" s="258"/>
      <c r="M117" s="258"/>
    </row>
    <row r="118" spans="1:13" x14ac:dyDescent="0.25">
      <c r="A118" s="258"/>
      <c r="B118" s="258"/>
      <c r="C118" s="258"/>
      <c r="D118" s="259"/>
      <c r="E118" s="259"/>
      <c r="F118" s="259"/>
      <c r="G118" s="258"/>
      <c r="H118" s="258"/>
      <c r="I118" s="259"/>
      <c r="J118" s="259"/>
      <c r="K118" s="259"/>
      <c r="L118" s="258"/>
      <c r="M118" s="258"/>
    </row>
    <row r="119" spans="1:13" x14ac:dyDescent="0.25">
      <c r="A119" s="258"/>
      <c r="B119" s="258"/>
      <c r="C119" s="258"/>
      <c r="D119" s="259"/>
      <c r="E119" s="259"/>
      <c r="F119" s="259"/>
      <c r="G119" s="258"/>
      <c r="H119" s="258"/>
      <c r="I119" s="259"/>
      <c r="J119" s="259"/>
      <c r="K119" s="259"/>
      <c r="L119" s="258"/>
      <c r="M119" s="258"/>
    </row>
    <row r="120" spans="1:13" x14ac:dyDescent="0.25">
      <c r="A120" s="258"/>
      <c r="B120" s="258"/>
      <c r="C120" s="258"/>
      <c r="D120" s="259"/>
      <c r="E120" s="259"/>
      <c r="F120" s="259"/>
      <c r="G120" s="258"/>
      <c r="H120" s="258"/>
      <c r="I120" s="259"/>
      <c r="J120" s="259"/>
      <c r="K120" s="259"/>
      <c r="L120" s="258"/>
      <c r="M120" s="258"/>
    </row>
    <row r="121" spans="1:13" x14ac:dyDescent="0.25">
      <c r="A121" s="258"/>
      <c r="B121" s="258"/>
      <c r="C121" s="258"/>
      <c r="D121" s="259"/>
      <c r="E121" s="259"/>
      <c r="F121" s="259"/>
      <c r="G121" s="258"/>
      <c r="H121" s="264"/>
      <c r="I121" s="259"/>
      <c r="J121" s="259"/>
      <c r="K121" s="259"/>
      <c r="L121" s="258"/>
      <c r="M121" s="258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9">
        <f>M155+K155-F155</f>
        <v>993.44999999999709</v>
      </c>
    </row>
    <row r="127" spans="1:13" x14ac:dyDescent="0.25">
      <c r="A127" s="260" t="s">
        <v>1</v>
      </c>
      <c r="B127" s="260" t="s">
        <v>2</v>
      </c>
      <c r="C127" s="260" t="s">
        <v>4</v>
      </c>
      <c r="D127" s="261" t="s">
        <v>5</v>
      </c>
      <c r="E127" s="261" t="s">
        <v>94</v>
      </c>
      <c r="F127" s="261" t="s">
        <v>60</v>
      </c>
      <c r="G127" s="260" t="s">
        <v>3</v>
      </c>
      <c r="H127" s="260" t="s">
        <v>6</v>
      </c>
      <c r="I127" s="261" t="s">
        <v>7</v>
      </c>
      <c r="J127" s="261" t="s">
        <v>95</v>
      </c>
      <c r="K127" s="261" t="s">
        <v>61</v>
      </c>
      <c r="L127" s="260" t="s">
        <v>37</v>
      </c>
      <c r="M127" s="260" t="s">
        <v>38</v>
      </c>
    </row>
    <row r="128" spans="1:13" x14ac:dyDescent="0.25">
      <c r="A128" s="262" t="s">
        <v>32</v>
      </c>
      <c r="B128" s="263">
        <v>42467</v>
      </c>
      <c r="C128" s="258">
        <v>50</v>
      </c>
      <c r="D128" s="259">
        <v>45.5</v>
      </c>
      <c r="E128" s="259">
        <v>0</v>
      </c>
      <c r="F128" s="259">
        <f t="shared" ref="F128:F139" si="9">D128*C128+E128</f>
        <v>2275</v>
      </c>
      <c r="G128" s="258"/>
      <c r="H128" s="258"/>
      <c r="I128" s="259"/>
      <c r="J128" s="259"/>
      <c r="K128" s="259"/>
      <c r="L128" s="263">
        <v>42522</v>
      </c>
      <c r="M128" s="259">
        <v>33.75</v>
      </c>
    </row>
    <row r="129" spans="1:13" x14ac:dyDescent="0.25">
      <c r="A129" s="265" t="s">
        <v>71</v>
      </c>
      <c r="B129" s="263">
        <v>42482</v>
      </c>
      <c r="C129" s="258">
        <v>50</v>
      </c>
      <c r="D129" s="259">
        <v>43.65</v>
      </c>
      <c r="E129" s="259">
        <v>0</v>
      </c>
      <c r="F129" s="259">
        <f t="shared" si="9"/>
        <v>2182.5</v>
      </c>
      <c r="G129" s="263">
        <v>42507</v>
      </c>
      <c r="H129" s="264">
        <v>100</v>
      </c>
      <c r="I129" s="259">
        <v>43.59</v>
      </c>
      <c r="J129" s="259">
        <v>0.1</v>
      </c>
      <c r="K129" s="259">
        <f>H129*I129-J129</f>
        <v>4358.8999999999996</v>
      </c>
      <c r="L129" s="263">
        <v>42615</v>
      </c>
      <c r="M129" s="259">
        <v>81</v>
      </c>
    </row>
    <row r="130" spans="1:13" x14ac:dyDescent="0.25">
      <c r="A130" s="258"/>
      <c r="B130" s="263">
        <v>42486</v>
      </c>
      <c r="C130" s="258">
        <v>50</v>
      </c>
      <c r="D130" s="259">
        <v>43.25</v>
      </c>
      <c r="E130" s="259">
        <v>0</v>
      </c>
      <c r="F130" s="259">
        <f t="shared" si="9"/>
        <v>2162.5</v>
      </c>
      <c r="G130" s="263">
        <v>42509</v>
      </c>
      <c r="H130" s="264">
        <v>50</v>
      </c>
      <c r="I130" s="259">
        <v>43.12</v>
      </c>
      <c r="J130" s="259">
        <v>0.05</v>
      </c>
      <c r="K130" s="259">
        <f>H130*I130-J130</f>
        <v>2155.9499999999998</v>
      </c>
      <c r="L130" s="258"/>
      <c r="M130" s="258"/>
    </row>
    <row r="131" spans="1:13" x14ac:dyDescent="0.25">
      <c r="A131" s="258"/>
      <c r="B131" s="263">
        <v>42489</v>
      </c>
      <c r="C131" s="258">
        <v>50</v>
      </c>
      <c r="D131" s="259">
        <v>41.95</v>
      </c>
      <c r="E131" s="259">
        <v>0</v>
      </c>
      <c r="F131" s="259">
        <f t="shared" si="9"/>
        <v>2097.5</v>
      </c>
      <c r="G131" s="263">
        <v>42515</v>
      </c>
      <c r="H131" s="264">
        <v>50</v>
      </c>
      <c r="I131" s="259">
        <v>43.96</v>
      </c>
      <c r="J131" s="259">
        <v>0.05</v>
      </c>
      <c r="K131" s="259">
        <f>H131*I131-J131</f>
        <v>2197.9499999999998</v>
      </c>
      <c r="L131" s="258"/>
      <c r="M131" s="258"/>
    </row>
    <row r="132" spans="1:13" x14ac:dyDescent="0.25">
      <c r="A132" s="258"/>
      <c r="B132" s="263">
        <v>42489</v>
      </c>
      <c r="C132" s="258">
        <v>50</v>
      </c>
      <c r="D132" s="259">
        <v>41.39</v>
      </c>
      <c r="E132" s="259">
        <v>0</v>
      </c>
      <c r="F132" s="259">
        <f t="shared" si="9"/>
        <v>2069.5</v>
      </c>
      <c r="G132" s="258"/>
      <c r="H132" s="258"/>
      <c r="I132" s="259"/>
      <c r="J132" s="259"/>
      <c r="K132" s="259"/>
      <c r="L132" s="258"/>
      <c r="M132" s="258"/>
    </row>
    <row r="133" spans="1:13" x14ac:dyDescent="0.25">
      <c r="A133" s="258"/>
      <c r="B133" s="263">
        <v>42509</v>
      </c>
      <c r="C133" s="258">
        <v>50</v>
      </c>
      <c r="D133" s="259">
        <v>42.59</v>
      </c>
      <c r="E133" s="259">
        <v>0</v>
      </c>
      <c r="F133" s="259">
        <f t="shared" si="9"/>
        <v>2129.5</v>
      </c>
      <c r="G133" s="263">
        <v>42545</v>
      </c>
      <c r="H133" s="264">
        <v>100</v>
      </c>
      <c r="I133" s="259">
        <v>37.01</v>
      </c>
      <c r="J133" s="259">
        <v>0.57999999999999996</v>
      </c>
      <c r="K133" s="259">
        <f>H133*I133-J133</f>
        <v>3700.42</v>
      </c>
      <c r="L133" s="258"/>
      <c r="M133" s="258"/>
    </row>
    <row r="134" spans="1:13" x14ac:dyDescent="0.25">
      <c r="A134" s="258"/>
      <c r="B134" s="263">
        <v>42509</v>
      </c>
      <c r="C134" s="258">
        <v>50</v>
      </c>
      <c r="D134" s="259">
        <v>42.59</v>
      </c>
      <c r="E134" s="259">
        <v>0</v>
      </c>
      <c r="F134" s="259">
        <f t="shared" si="9"/>
        <v>2129.5</v>
      </c>
      <c r="G134" s="263">
        <v>42563</v>
      </c>
      <c r="H134" s="264">
        <v>100</v>
      </c>
      <c r="I134" s="259">
        <v>39.340000000000003</v>
      </c>
      <c r="J134" s="259">
        <v>0.09</v>
      </c>
      <c r="K134" s="259">
        <f>H134*I134-J134</f>
        <v>3933.9100000000003</v>
      </c>
      <c r="L134" s="258"/>
      <c r="M134" s="258"/>
    </row>
    <row r="135" spans="1:13" x14ac:dyDescent="0.25">
      <c r="A135" s="258"/>
      <c r="B135" s="263">
        <v>42515</v>
      </c>
      <c r="C135" s="258">
        <v>50</v>
      </c>
      <c r="D135" s="259">
        <v>43.45</v>
      </c>
      <c r="E135" s="259">
        <v>0</v>
      </c>
      <c r="F135" s="259">
        <f t="shared" si="9"/>
        <v>2172.5</v>
      </c>
      <c r="G135" s="525"/>
      <c r="H135" s="258"/>
      <c r="I135" s="259"/>
      <c r="J135" s="259"/>
      <c r="K135" s="259"/>
      <c r="L135" s="258"/>
      <c r="M135" s="258"/>
    </row>
    <row r="136" spans="1:13" x14ac:dyDescent="0.25">
      <c r="A136" s="258"/>
      <c r="B136" s="263">
        <v>42535</v>
      </c>
      <c r="C136" s="258">
        <v>100</v>
      </c>
      <c r="D136" s="259">
        <v>39.85</v>
      </c>
      <c r="E136" s="259">
        <v>0</v>
      </c>
      <c r="F136" s="259">
        <f t="shared" si="9"/>
        <v>3985</v>
      </c>
      <c r="G136" s="263">
        <v>42566</v>
      </c>
      <c r="H136" s="406">
        <v>100</v>
      </c>
      <c r="I136" s="365">
        <v>40.479999999999997</v>
      </c>
      <c r="J136" s="365">
        <v>0.09</v>
      </c>
      <c r="K136" s="365">
        <f t="shared" ref="K136:K142" si="10">H136*I136-J136</f>
        <v>4047.9099999999994</v>
      </c>
      <c r="L136" s="258"/>
      <c r="M136" s="258"/>
    </row>
    <row r="137" spans="1:13" x14ac:dyDescent="0.25">
      <c r="A137" s="258"/>
      <c r="B137" s="263">
        <v>42537</v>
      </c>
      <c r="C137" s="258">
        <v>100</v>
      </c>
      <c r="D137" s="259">
        <v>37.85</v>
      </c>
      <c r="E137" s="259">
        <v>0</v>
      </c>
      <c r="F137" s="259">
        <f t="shared" si="9"/>
        <v>3785</v>
      </c>
      <c r="G137" s="263">
        <v>42571</v>
      </c>
      <c r="H137" s="264">
        <v>100</v>
      </c>
      <c r="I137" s="259">
        <v>41.08</v>
      </c>
      <c r="J137" s="259">
        <v>0.09</v>
      </c>
      <c r="K137" s="365">
        <f t="shared" si="10"/>
        <v>4107.91</v>
      </c>
      <c r="L137" s="258"/>
      <c r="M137" s="258"/>
    </row>
    <row r="138" spans="1:13" x14ac:dyDescent="0.25">
      <c r="A138" s="258"/>
      <c r="B138" s="263">
        <v>42545</v>
      </c>
      <c r="C138" s="258">
        <v>50</v>
      </c>
      <c r="D138" s="259">
        <v>36.01</v>
      </c>
      <c r="E138" s="259">
        <v>0</v>
      </c>
      <c r="F138" s="259">
        <f t="shared" si="9"/>
        <v>1800.5</v>
      </c>
      <c r="G138" s="263">
        <v>42580</v>
      </c>
      <c r="H138" s="264">
        <v>50</v>
      </c>
      <c r="I138" s="259">
        <v>39.78</v>
      </c>
      <c r="J138" s="259">
        <v>0.04</v>
      </c>
      <c r="K138" s="259">
        <f t="shared" si="10"/>
        <v>1988.96</v>
      </c>
      <c r="L138" s="258"/>
      <c r="M138" s="258"/>
    </row>
    <row r="139" spans="1:13" x14ac:dyDescent="0.25">
      <c r="A139" s="258"/>
      <c r="B139" s="263">
        <v>42545</v>
      </c>
      <c r="C139" s="258">
        <v>50</v>
      </c>
      <c r="D139" s="259">
        <v>36.01</v>
      </c>
      <c r="E139" s="259">
        <v>0</v>
      </c>
      <c r="F139" s="259">
        <f t="shared" si="9"/>
        <v>1800.5</v>
      </c>
      <c r="G139" s="263">
        <v>42620</v>
      </c>
      <c r="H139" s="264">
        <v>50</v>
      </c>
      <c r="I139" s="259">
        <v>38.18</v>
      </c>
      <c r="J139" s="259">
        <v>0.04</v>
      </c>
      <c r="K139" s="259">
        <f t="shared" si="10"/>
        <v>1908.96</v>
      </c>
      <c r="L139" s="258"/>
      <c r="M139" s="258"/>
    </row>
    <row r="140" spans="1:13" x14ac:dyDescent="0.25">
      <c r="A140" s="258"/>
      <c r="B140" s="263">
        <v>42545</v>
      </c>
      <c r="C140" s="258">
        <v>100</v>
      </c>
      <c r="D140" s="259">
        <v>36.01</v>
      </c>
      <c r="E140" s="259">
        <v>0</v>
      </c>
      <c r="F140" s="259">
        <f>D140*C140+E140</f>
        <v>3601</v>
      </c>
      <c r="G140" s="263">
        <v>42620</v>
      </c>
      <c r="H140" s="264">
        <v>50</v>
      </c>
      <c r="I140" s="259">
        <v>38.880000000000003</v>
      </c>
      <c r="J140" s="259">
        <v>0.04</v>
      </c>
      <c r="K140" s="259">
        <f t="shared" si="10"/>
        <v>1943.9600000000003</v>
      </c>
      <c r="L140" s="258"/>
      <c r="M140" s="258"/>
    </row>
    <row r="141" spans="1:13" x14ac:dyDescent="0.25">
      <c r="A141" s="258"/>
      <c r="B141" s="263">
        <v>42548</v>
      </c>
      <c r="C141" s="258">
        <v>100</v>
      </c>
      <c r="D141" s="259">
        <v>33.880000000000003</v>
      </c>
      <c r="E141" s="259">
        <v>0</v>
      </c>
      <c r="F141" s="259">
        <f>D141*C141+E141</f>
        <v>3388.0000000000005</v>
      </c>
      <c r="G141" s="263">
        <v>42620</v>
      </c>
      <c r="H141" s="264">
        <v>50</v>
      </c>
      <c r="I141" s="259">
        <v>39.090000000000003</v>
      </c>
      <c r="J141" s="259">
        <v>-0.09</v>
      </c>
      <c r="K141" s="259">
        <f t="shared" si="10"/>
        <v>1954.5900000000001</v>
      </c>
      <c r="L141" s="258"/>
      <c r="M141" s="258"/>
    </row>
    <row r="142" spans="1:13" x14ac:dyDescent="0.25">
      <c r="A142" s="258"/>
      <c r="B142" s="263">
        <v>42572</v>
      </c>
      <c r="C142" s="258">
        <v>50</v>
      </c>
      <c r="D142" s="259">
        <v>38.58</v>
      </c>
      <c r="E142" s="259">
        <v>0</v>
      </c>
      <c r="F142" s="259">
        <f>D142*C142+E142</f>
        <v>1929</v>
      </c>
      <c r="G142" s="263">
        <v>42641</v>
      </c>
      <c r="H142" s="264">
        <v>250</v>
      </c>
      <c r="I142" s="259">
        <v>39.68</v>
      </c>
      <c r="J142" s="259">
        <v>0.22</v>
      </c>
      <c r="K142" s="259">
        <f t="shared" si="10"/>
        <v>9919.7800000000007</v>
      </c>
      <c r="L142" s="258"/>
      <c r="M142" s="258"/>
    </row>
    <row r="143" spans="1:13" x14ac:dyDescent="0.25">
      <c r="A143" s="258"/>
      <c r="B143" s="263">
        <v>42580</v>
      </c>
      <c r="C143" s="258">
        <v>50</v>
      </c>
      <c r="D143" s="259">
        <v>38.979999999999997</v>
      </c>
      <c r="E143" s="259">
        <v>0</v>
      </c>
      <c r="F143" s="259">
        <f>D143*C143+E143</f>
        <v>1948.9999999999998</v>
      </c>
      <c r="G143" s="258"/>
      <c r="H143" s="258"/>
      <c r="I143" s="259"/>
      <c r="J143" s="259"/>
      <c r="K143" s="259"/>
      <c r="L143" s="258"/>
      <c r="M143" s="258"/>
    </row>
    <row r="144" spans="1:13" x14ac:dyDescent="0.25">
      <c r="A144" s="258"/>
      <c r="B144" s="263">
        <v>42584</v>
      </c>
      <c r="C144" s="258">
        <v>50</v>
      </c>
      <c r="D144" s="259">
        <v>37.68</v>
      </c>
      <c r="E144" s="259">
        <v>0</v>
      </c>
      <c r="F144" s="259">
        <f>D144*C144+E144</f>
        <v>1884</v>
      </c>
      <c r="G144" s="258"/>
      <c r="H144" s="258"/>
      <c r="I144" s="259"/>
      <c r="J144" s="259"/>
      <c r="K144" s="259"/>
      <c r="L144" s="258"/>
      <c r="M144" s="258"/>
    </row>
    <row r="145" spans="1:13" x14ac:dyDescent="0.25">
      <c r="A145" s="258"/>
      <c r="B145" s="258"/>
      <c r="C145" s="258"/>
      <c r="D145" s="259"/>
      <c r="E145" s="259"/>
      <c r="F145" s="259"/>
      <c r="G145" s="258"/>
      <c r="H145" s="258"/>
      <c r="I145" s="259"/>
      <c r="J145" s="259"/>
      <c r="K145" s="259"/>
      <c r="L145" s="258"/>
      <c r="M145" s="258"/>
    </row>
    <row r="146" spans="1:13" x14ac:dyDescent="0.25">
      <c r="A146" s="258"/>
      <c r="B146" s="258"/>
      <c r="C146" s="258"/>
      <c r="D146" s="259"/>
      <c r="E146" s="259"/>
      <c r="F146" s="259"/>
      <c r="G146" s="258"/>
      <c r="H146" s="258"/>
      <c r="I146" s="259"/>
      <c r="J146" s="259"/>
      <c r="K146" s="259"/>
      <c r="L146" s="258"/>
      <c r="M146" s="258"/>
    </row>
    <row r="147" spans="1:13" x14ac:dyDescent="0.25">
      <c r="A147" s="258"/>
      <c r="B147" s="258"/>
      <c r="C147" s="258"/>
      <c r="D147" s="259"/>
      <c r="E147" s="259"/>
      <c r="F147" s="259"/>
      <c r="G147" s="258"/>
      <c r="H147" s="258"/>
      <c r="I147" s="259"/>
      <c r="J147" s="259"/>
      <c r="K147" s="259"/>
      <c r="L147" s="258"/>
      <c r="M147" s="258"/>
    </row>
    <row r="148" spans="1:13" x14ac:dyDescent="0.25">
      <c r="A148" s="258"/>
      <c r="B148" s="258"/>
      <c r="C148" s="258"/>
      <c r="D148" s="259"/>
      <c r="E148" s="259"/>
      <c r="F148" s="259"/>
      <c r="G148" s="258"/>
      <c r="H148" s="258"/>
      <c r="I148" s="259"/>
      <c r="J148" s="259"/>
      <c r="K148" s="259"/>
      <c r="L148" s="258"/>
      <c r="M148" s="258"/>
    </row>
    <row r="149" spans="1:13" x14ac:dyDescent="0.25">
      <c r="A149" s="258"/>
      <c r="B149" s="258"/>
      <c r="C149" s="258"/>
      <c r="D149" s="259"/>
      <c r="E149" s="259"/>
      <c r="F149" s="259"/>
      <c r="G149" s="258"/>
      <c r="H149" s="258"/>
      <c r="I149" s="259"/>
      <c r="J149" s="259"/>
      <c r="K149" s="259"/>
      <c r="L149" s="258"/>
      <c r="M149" s="258"/>
    </row>
    <row r="150" spans="1:13" x14ac:dyDescent="0.25">
      <c r="A150" s="258"/>
      <c r="B150" s="258"/>
      <c r="C150" s="258"/>
      <c r="D150" s="259"/>
      <c r="E150" s="259"/>
      <c r="F150" s="259"/>
      <c r="G150" s="258"/>
      <c r="H150" s="258"/>
      <c r="I150" s="259"/>
      <c r="J150" s="259"/>
      <c r="K150" s="259"/>
      <c r="L150" s="258"/>
      <c r="M150" s="258"/>
    </row>
    <row r="151" spans="1:13" x14ac:dyDescent="0.25">
      <c r="A151" s="258"/>
      <c r="B151" s="258"/>
      <c r="C151" s="258"/>
      <c r="D151" s="259"/>
      <c r="E151" s="259"/>
      <c r="F151" s="259"/>
      <c r="G151" s="258"/>
      <c r="H151" s="258"/>
      <c r="I151" s="259"/>
      <c r="J151" s="259"/>
      <c r="K151" s="259"/>
      <c r="L151" s="258"/>
      <c r="M151" s="258"/>
    </row>
    <row r="152" spans="1:13" x14ac:dyDescent="0.25">
      <c r="A152" s="258"/>
      <c r="B152" s="258"/>
      <c r="C152" s="258"/>
      <c r="D152" s="259"/>
      <c r="E152" s="259"/>
      <c r="F152" s="259"/>
      <c r="G152" s="258"/>
      <c r="H152" s="258"/>
      <c r="I152" s="259"/>
      <c r="J152" s="259"/>
      <c r="K152" s="259"/>
      <c r="L152" s="258"/>
      <c r="M152" s="258"/>
    </row>
    <row r="153" spans="1:13" x14ac:dyDescent="0.25">
      <c r="A153" s="258"/>
      <c r="B153" s="258"/>
      <c r="C153" s="258"/>
      <c r="D153" s="259"/>
      <c r="E153" s="259"/>
      <c r="F153" s="259"/>
      <c r="G153" s="258"/>
      <c r="H153" s="258"/>
      <c r="I153" s="259"/>
      <c r="J153" s="259"/>
      <c r="K153" s="259"/>
      <c r="L153" s="258"/>
      <c r="M153" s="258"/>
    </row>
    <row r="154" spans="1:13" x14ac:dyDescent="0.25">
      <c r="A154" s="258"/>
      <c r="B154" s="258"/>
      <c r="C154" s="258"/>
      <c r="D154" s="259"/>
      <c r="E154" s="259"/>
      <c r="F154" s="259"/>
      <c r="G154" s="258"/>
      <c r="H154" s="264"/>
      <c r="I154" s="259"/>
      <c r="J154" s="259"/>
      <c r="K154" s="259"/>
      <c r="L154" s="258"/>
      <c r="M154" s="258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0" t="s">
        <v>195</v>
      </c>
      <c r="B156" s="461"/>
      <c r="C156" s="462">
        <f>SumByColor($A$30,C128:C154)</f>
        <v>0</v>
      </c>
      <c r="D156" s="462"/>
      <c r="E156" s="462"/>
      <c r="F156" s="463">
        <f>SumByColor($A$30,F128:F154)</f>
        <v>0</v>
      </c>
      <c r="G156" s="462"/>
      <c r="H156" s="462">
        <f>SumByColor($A$30,H129:H154)</f>
        <v>0</v>
      </c>
      <c r="I156" s="462"/>
      <c r="J156" s="462"/>
      <c r="K156" s="463">
        <f>SumByColor($A$30,K129:K154)</f>
        <v>0</v>
      </c>
      <c r="L156" s="462"/>
      <c r="M156" s="463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344</v>
      </c>
      <c r="B2" s="452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2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180</v>
      </c>
      <c r="W2" s="131"/>
      <c r="X2" s="10"/>
      <c r="Y2" s="10"/>
      <c r="Z2" s="10"/>
      <c r="AA2" s="10"/>
      <c r="AB2" s="94"/>
      <c r="AC2" s="10"/>
      <c r="AD2" s="2"/>
      <c r="AE2" s="135" t="e">
        <f>AC2/AC3-1</f>
        <v>#DIV/0!</v>
      </c>
    </row>
    <row r="3" spans="1:41" x14ac:dyDescent="0.25">
      <c r="A3" s="23" t="s">
        <v>71</v>
      </c>
      <c r="B3" s="452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2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7">
        <f>IF(Q2=0, Q4, (F18-K18-M18)/Q2)</f>
        <v>22.695</v>
      </c>
      <c r="T3" s="1"/>
      <c r="W3" s="131"/>
      <c r="X3" s="10"/>
      <c r="Y3" s="10"/>
      <c r="Z3" s="10"/>
      <c r="AA3" s="10"/>
      <c r="AB3" s="94"/>
      <c r="AC3" s="10"/>
      <c r="AD3" s="2"/>
      <c r="AE3" s="135" t="e">
        <f t="shared" ref="AE3:AE66" si="0">AC3/AC4-1</f>
        <v>#DIV/0!</v>
      </c>
      <c r="AL3" s="231"/>
      <c r="AO3" s="231"/>
    </row>
    <row r="4" spans="1:41" x14ac:dyDescent="0.25">
      <c r="B4" s="452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2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8">
        <v>17.97</v>
      </c>
      <c r="R4" s="497">
        <v>4.7199999999999999E-2</v>
      </c>
      <c r="W4" s="131"/>
      <c r="X4" s="10"/>
      <c r="Y4" s="10"/>
      <c r="Z4" s="10"/>
      <c r="AA4" s="10"/>
      <c r="AB4" s="94"/>
      <c r="AC4" s="10"/>
      <c r="AD4" s="2"/>
      <c r="AE4" s="135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3234.6</v>
      </c>
      <c r="W5" s="131"/>
      <c r="X5" s="10"/>
      <c r="Y5" s="10"/>
      <c r="Z5" s="10"/>
      <c r="AA5" s="10"/>
      <c r="AB5" s="94"/>
      <c r="AC5" s="10"/>
      <c r="AD5" s="2"/>
      <c r="AE5" s="135" t="e">
        <f t="shared" si="0"/>
        <v>#DIV/0!</v>
      </c>
    </row>
    <row r="6" spans="1:41" x14ac:dyDescent="0.25">
      <c r="B6" s="496">
        <v>42957</v>
      </c>
      <c r="C6" s="4">
        <v>100</v>
      </c>
      <c r="D6" s="3">
        <v>17.28</v>
      </c>
      <c r="E6" s="3">
        <v>0</v>
      </c>
      <c r="F6" s="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4085.1</v>
      </c>
      <c r="W6" s="131"/>
      <c r="X6" s="10"/>
      <c r="Y6" s="10"/>
      <c r="Z6" s="10"/>
      <c r="AA6" s="10"/>
      <c r="AB6" s="94"/>
      <c r="AC6" s="10"/>
      <c r="AD6" s="2"/>
      <c r="AE6" s="135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-850.50000000000045</v>
      </c>
      <c r="R7">
        <v>80</v>
      </c>
      <c r="W7" s="131"/>
      <c r="X7" s="10"/>
      <c r="Y7" s="10"/>
      <c r="Z7" s="10"/>
      <c r="AA7" s="10"/>
      <c r="AB7" s="94"/>
      <c r="AC7" s="10"/>
      <c r="AD7" s="2"/>
      <c r="AE7" s="135" t="e">
        <f t="shared" si="0"/>
        <v>#DIV/0!</v>
      </c>
    </row>
    <row r="8" spans="1:41" x14ac:dyDescent="0.25">
      <c r="O8" s="11" t="s">
        <v>181</v>
      </c>
      <c r="P8" s="34"/>
      <c r="Q8" s="2">
        <f>K18+M18-F18+Q2*Q4</f>
        <v>-850.50000000000045</v>
      </c>
      <c r="W8" s="131"/>
      <c r="X8" s="10"/>
      <c r="Y8" s="10"/>
      <c r="Z8" s="10"/>
      <c r="AA8" s="10"/>
      <c r="AB8" s="94"/>
      <c r="AC8" s="10"/>
      <c r="AD8" s="2"/>
      <c r="AE8" s="135" t="e">
        <f t="shared" si="0"/>
        <v>#DIV/0!</v>
      </c>
    </row>
    <row r="9" spans="1:41" x14ac:dyDescent="0.25">
      <c r="O9" s="11" t="s">
        <v>211</v>
      </c>
      <c r="Q9" s="135">
        <f>IF(Q2=0, 0, Q8/Q6)</f>
        <v>-0.20819563780568417</v>
      </c>
      <c r="W9" s="131"/>
      <c r="X9" s="10"/>
      <c r="Y9" s="10"/>
      <c r="Z9" s="10"/>
      <c r="AA9" s="10"/>
      <c r="AB9" s="94"/>
      <c r="AC9" s="10"/>
      <c r="AD9" s="2"/>
      <c r="AE9" s="135" t="e">
        <f t="shared" si="0"/>
        <v>#DIV/0!</v>
      </c>
    </row>
    <row r="10" spans="1:41" x14ac:dyDescent="0.25">
      <c r="O10" s="11" t="s">
        <v>210</v>
      </c>
      <c r="P10" s="34"/>
      <c r="Q10" s="2">
        <f>M36</f>
        <v>0</v>
      </c>
      <c r="W10" s="131"/>
      <c r="X10" s="10"/>
      <c r="Y10" s="10"/>
      <c r="Z10" s="10"/>
      <c r="AA10" s="10"/>
      <c r="AB10" s="94"/>
      <c r="AC10" s="10"/>
      <c r="AD10" s="2"/>
      <c r="AE10" s="135" t="e">
        <f t="shared" si="0"/>
        <v>#DIV/0!</v>
      </c>
    </row>
    <row r="11" spans="1:41" x14ac:dyDescent="0.25">
      <c r="O11" s="11" t="s">
        <v>176</v>
      </c>
      <c r="P11" s="34"/>
      <c r="Q11" s="135">
        <f>IF(U58="N/A (N/A)", 0, VALUE(TRIM(CLEAN(MID(U58, FIND("(", U58)+1, 5)))))</f>
        <v>4.24E-2</v>
      </c>
      <c r="W11" s="131"/>
      <c r="X11" s="10"/>
      <c r="Y11" s="10"/>
      <c r="Z11" s="10"/>
      <c r="AA11" s="10"/>
      <c r="AB11" s="94"/>
      <c r="AC11" s="10"/>
      <c r="AD11" s="2"/>
      <c r="AE11" s="135" t="e">
        <f t="shared" si="0"/>
        <v>#DIV/0!</v>
      </c>
    </row>
    <row r="12" spans="1:41" x14ac:dyDescent="0.25">
      <c r="W12" s="131"/>
      <c r="X12" s="10"/>
      <c r="Y12" s="10"/>
      <c r="Z12" s="10"/>
      <c r="AA12" s="10"/>
      <c r="AB12" s="94"/>
      <c r="AC12" s="10"/>
      <c r="AD12" s="2"/>
      <c r="AE12" s="135" t="e">
        <f t="shared" si="0"/>
        <v>#DIV/0!</v>
      </c>
    </row>
    <row r="13" spans="1:41" x14ac:dyDescent="0.25">
      <c r="W13" s="131"/>
      <c r="X13" s="10"/>
      <c r="Y13" s="10"/>
      <c r="Z13" s="10"/>
      <c r="AA13" s="10"/>
      <c r="AB13" s="94"/>
      <c r="AC13" s="10"/>
      <c r="AD13" s="2"/>
      <c r="AE13" s="135" t="e">
        <f t="shared" si="0"/>
        <v>#DIV/0!</v>
      </c>
    </row>
    <row r="14" spans="1:41" x14ac:dyDescent="0.25">
      <c r="W14" s="131"/>
      <c r="X14" s="10"/>
      <c r="Y14" s="10"/>
      <c r="Z14" s="10"/>
      <c r="AA14" s="10"/>
      <c r="AB14" s="94"/>
      <c r="AC14" s="10"/>
      <c r="AD14" s="2"/>
      <c r="AE14" s="135" t="e">
        <f t="shared" si="0"/>
        <v>#DIV/0!</v>
      </c>
    </row>
    <row r="15" spans="1:41" x14ac:dyDescent="0.25">
      <c r="W15" s="131"/>
      <c r="X15" s="10"/>
      <c r="Y15" s="10"/>
      <c r="Z15" s="10"/>
      <c r="AA15" s="10"/>
      <c r="AB15" s="94"/>
      <c r="AC15" s="10"/>
      <c r="AD15" s="2"/>
      <c r="AE15" s="135" t="e">
        <f t="shared" si="0"/>
        <v>#DIV/0!</v>
      </c>
    </row>
    <row r="16" spans="1:41" x14ac:dyDescent="0.25">
      <c r="W16" s="131"/>
      <c r="X16" s="10"/>
      <c r="Y16" s="10"/>
      <c r="Z16" s="10"/>
      <c r="AA16" s="10"/>
      <c r="AB16" s="94"/>
      <c r="AC16" s="10"/>
      <c r="AD16" s="2"/>
      <c r="AE16" s="135" t="e">
        <f t="shared" si="0"/>
        <v>#DIV/0!</v>
      </c>
    </row>
    <row r="17" spans="1:31" x14ac:dyDescent="0.25">
      <c r="W17" s="131"/>
      <c r="X17" s="10"/>
      <c r="Y17" s="10"/>
      <c r="Z17" s="10"/>
      <c r="AA17" s="10"/>
      <c r="AB17" s="94"/>
      <c r="AC17" s="10"/>
      <c r="AD17" s="2"/>
      <c r="AE17" s="135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380</v>
      </c>
      <c r="D18" s="38"/>
      <c r="E18" s="38"/>
      <c r="F18" s="38">
        <f>SUM(F2:F17)</f>
        <v>10601.6</v>
      </c>
      <c r="G18" s="37"/>
      <c r="H18" s="180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1"/>
      <c r="X18" s="10"/>
      <c r="Y18" s="10"/>
      <c r="Z18" s="10"/>
      <c r="AA18" s="10"/>
      <c r="AB18" s="94"/>
      <c r="AC18" s="10"/>
      <c r="AD18" s="2"/>
      <c r="AE18" s="135" t="e">
        <f t="shared" si="0"/>
        <v>#DIV/0!</v>
      </c>
    </row>
    <row r="19" spans="1:31" x14ac:dyDescent="0.25">
      <c r="G19" s="2"/>
      <c r="W19" s="131"/>
      <c r="X19" s="10"/>
      <c r="Y19" s="10"/>
      <c r="Z19" s="10"/>
      <c r="AA19" s="10"/>
      <c r="AB19" s="94"/>
      <c r="AC19" s="10"/>
      <c r="AD19" s="2"/>
      <c r="AE19" s="135" t="e">
        <f t="shared" si="0"/>
        <v>#DIV/0!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2" t="s">
        <v>154</v>
      </c>
      <c r="W20" s="131"/>
      <c r="X20" s="10"/>
      <c r="Y20" s="10"/>
      <c r="Z20" s="10"/>
      <c r="AA20" s="10"/>
      <c r="AB20" s="94"/>
      <c r="AC20" s="10"/>
      <c r="AD20" s="2"/>
      <c r="AE20" s="135" t="e">
        <f t="shared" si="0"/>
        <v>#DIV/0!</v>
      </c>
    </row>
    <row r="21" spans="1:31" x14ac:dyDescent="0.25">
      <c r="B21" s="190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8">
        <f>(E21-D21)/D21</f>
        <v>7.6425631981186948E-3</v>
      </c>
      <c r="I21" s="228"/>
      <c r="W21" s="131"/>
      <c r="X21" s="10"/>
      <c r="Y21" s="10"/>
      <c r="Z21" s="10"/>
      <c r="AA21" s="10"/>
      <c r="AB21" s="94"/>
      <c r="AC21" s="10"/>
      <c r="AD21" s="2"/>
      <c r="AE21" s="135" t="e">
        <f t="shared" si="0"/>
        <v>#DIV/0!</v>
      </c>
    </row>
    <row r="22" spans="1:31" x14ac:dyDescent="0.25">
      <c r="B22" s="190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8">
        <f>(E22-D22)/D22</f>
        <v>-2.1830143540669766E-2</v>
      </c>
      <c r="I22" s="228"/>
      <c r="W22" s="131"/>
      <c r="X22" s="10"/>
      <c r="Y22" s="10"/>
      <c r="Z22" s="10"/>
      <c r="AA22" s="10"/>
      <c r="AB22" s="94"/>
      <c r="AC22" s="10"/>
      <c r="AD22" s="2"/>
      <c r="AE22" s="135" t="e">
        <f t="shared" si="0"/>
        <v>#DIV/0!</v>
      </c>
    </row>
    <row r="23" spans="1:31" x14ac:dyDescent="0.25">
      <c r="A23" t="s">
        <v>379</v>
      </c>
      <c r="B23" s="190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8">
        <f>(E23-D23)/D23</f>
        <v>2.1798158457594429E-2</v>
      </c>
      <c r="I23" s="228"/>
      <c r="W23" s="131"/>
      <c r="X23" s="10"/>
      <c r="Y23" s="10"/>
      <c r="Z23" s="10"/>
      <c r="AA23" s="10"/>
      <c r="AB23" s="94"/>
      <c r="AC23" s="10"/>
      <c r="AD23" s="2"/>
      <c r="AE23" s="135" t="e">
        <f t="shared" si="0"/>
        <v>#DIV/0!</v>
      </c>
    </row>
    <row r="24" spans="1:31" x14ac:dyDescent="0.25">
      <c r="B24" s="190">
        <v>42766</v>
      </c>
      <c r="C24" s="10">
        <v>0</v>
      </c>
      <c r="D24" s="40"/>
      <c r="E24" s="40"/>
      <c r="F24" s="40">
        <v>-46.49</v>
      </c>
      <c r="G24" s="40"/>
      <c r="H24" s="228"/>
      <c r="I24" s="228"/>
      <c r="W24" s="131"/>
      <c r="X24" s="10"/>
      <c r="Y24" s="10"/>
      <c r="Z24" s="10"/>
      <c r="AA24" s="10"/>
      <c r="AB24" s="94"/>
      <c r="AC24" s="10"/>
      <c r="AD24" s="2"/>
      <c r="AE24" s="135" t="e">
        <f t="shared" si="0"/>
        <v>#DIV/0!</v>
      </c>
    </row>
    <row r="25" spans="1:31" x14ac:dyDescent="0.25">
      <c r="A25">
        <v>0</v>
      </c>
      <c r="B25" s="190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8">
        <f>(E25-D25)/D25</f>
        <v>-2.1196357675507253E-2</v>
      </c>
      <c r="I25" s="229"/>
      <c r="W25" s="131"/>
      <c r="X25" s="10"/>
      <c r="Y25" s="10"/>
      <c r="Z25" s="10"/>
      <c r="AA25" s="10"/>
      <c r="AB25" s="94"/>
      <c r="AC25" s="10"/>
      <c r="AD25" s="2"/>
      <c r="AE25" s="135" t="e">
        <f t="shared" si="0"/>
        <v>#DIV/0!</v>
      </c>
    </row>
    <row r="26" spans="1:31" x14ac:dyDescent="0.25">
      <c r="A26">
        <v>0</v>
      </c>
      <c r="B26" s="190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29">
        <f>(E26-D26)/D26</f>
        <v>-3.0667805651014322E-2</v>
      </c>
      <c r="I26" s="229"/>
      <c r="W26" s="131"/>
      <c r="X26" s="10"/>
      <c r="Y26" s="10"/>
      <c r="Z26" s="10"/>
      <c r="AA26" s="10"/>
      <c r="AB26" s="94"/>
      <c r="AC26" s="10"/>
      <c r="AD26" s="2"/>
      <c r="AE26" s="135" t="e">
        <f t="shared" si="0"/>
        <v>#DIV/0!</v>
      </c>
    </row>
    <row r="27" spans="1:31" x14ac:dyDescent="0.25">
      <c r="B27" s="190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29">
        <f>(E27-D27)/D27</f>
        <v>1.2921995353141331E-2</v>
      </c>
      <c r="I27" s="229"/>
      <c r="W27" s="131"/>
      <c r="X27" s="10"/>
      <c r="Y27" s="10"/>
      <c r="Z27" s="10"/>
      <c r="AA27" s="10"/>
      <c r="AB27" s="94"/>
      <c r="AC27" s="10"/>
      <c r="AD27" s="2"/>
      <c r="AE27" s="135" t="e">
        <f t="shared" si="0"/>
        <v>#DIV/0!</v>
      </c>
    </row>
    <row r="28" spans="1:31" x14ac:dyDescent="0.25">
      <c r="A28">
        <v>80</v>
      </c>
      <c r="B28" s="190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29">
        <f>(E28-D28)/D28</f>
        <v>0.12748525309023276</v>
      </c>
      <c r="I28" s="229"/>
      <c r="W28" s="131"/>
      <c r="X28" s="10"/>
      <c r="Y28" s="10"/>
      <c r="Z28" s="10"/>
      <c r="AA28" s="10"/>
      <c r="AB28" s="94"/>
      <c r="AC28" s="10"/>
      <c r="AD28" s="2"/>
      <c r="AE28" s="135" t="e">
        <f t="shared" si="0"/>
        <v>#DIV/0!</v>
      </c>
    </row>
    <row r="29" spans="1:31" x14ac:dyDescent="0.25">
      <c r="A29">
        <v>80</v>
      </c>
      <c r="B29" s="190">
        <v>42957</v>
      </c>
      <c r="C29" s="10">
        <v>180</v>
      </c>
      <c r="D29" s="40">
        <v>22.695</v>
      </c>
      <c r="E29" s="40">
        <v>17.190000000000001</v>
      </c>
      <c r="F29" s="40">
        <f>C29*(E29-D29)</f>
        <v>-990.89999999999986</v>
      </c>
      <c r="G29" s="40">
        <f>D29*C29</f>
        <v>4085.1</v>
      </c>
      <c r="H29" s="229">
        <f>(E29-D29)/D29</f>
        <v>-0.24256444150693982</v>
      </c>
      <c r="I29" s="229"/>
      <c r="W29" s="131"/>
      <c r="X29" s="10"/>
      <c r="Y29" s="10"/>
      <c r="Z29" s="10"/>
      <c r="AA29" s="10"/>
      <c r="AB29" s="94"/>
      <c r="AC29" s="10"/>
      <c r="AD29" s="2"/>
      <c r="AE29" s="135" t="e">
        <f t="shared" si="0"/>
        <v>#DIV/0!</v>
      </c>
    </row>
    <row r="30" spans="1:31" x14ac:dyDescent="0.25">
      <c r="B30" s="190"/>
      <c r="C30" s="10"/>
      <c r="D30" s="40"/>
      <c r="E30" s="40"/>
      <c r="F30" s="40"/>
      <c r="G30" s="40"/>
      <c r="H30" s="229"/>
      <c r="I30" s="229"/>
      <c r="W30" s="131"/>
      <c r="X30" s="10"/>
      <c r="Y30" s="10"/>
      <c r="Z30" s="10"/>
      <c r="AA30" s="10"/>
      <c r="AB30" s="94"/>
      <c r="AC30" s="10"/>
      <c r="AD30" s="2"/>
      <c r="AE30" s="135" t="e">
        <f t="shared" si="0"/>
        <v>#DIV/0!</v>
      </c>
    </row>
    <row r="31" spans="1:31" x14ac:dyDescent="0.25">
      <c r="B31" s="190"/>
      <c r="C31" s="10"/>
      <c r="D31" s="40"/>
      <c r="E31" s="40"/>
      <c r="F31" s="40"/>
      <c r="G31" s="40"/>
      <c r="H31" s="229"/>
      <c r="I31" s="229"/>
      <c r="W31" s="131"/>
      <c r="X31" s="10"/>
      <c r="Y31" s="10"/>
      <c r="Z31" s="10"/>
      <c r="AA31" s="10"/>
      <c r="AB31" s="94"/>
      <c r="AC31" s="10"/>
      <c r="AD31" s="2"/>
      <c r="AE31" s="135" t="e">
        <f t="shared" si="0"/>
        <v>#DIV/0!</v>
      </c>
    </row>
    <row r="32" spans="1:31" x14ac:dyDescent="0.25">
      <c r="B32" s="190"/>
      <c r="C32" s="10"/>
      <c r="D32" s="40"/>
      <c r="E32" s="40"/>
      <c r="F32" s="40"/>
      <c r="G32" s="40"/>
      <c r="H32" s="229"/>
      <c r="I32" s="229"/>
      <c r="W32" s="131"/>
      <c r="X32" s="10"/>
      <c r="Y32" s="10"/>
      <c r="Z32" s="10"/>
      <c r="AA32" s="10"/>
      <c r="AB32" s="94"/>
      <c r="AC32" s="10"/>
      <c r="AD32" s="2"/>
      <c r="AE32" s="135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29"/>
      <c r="I33" s="229"/>
      <c r="W33" s="131"/>
      <c r="X33" s="10"/>
      <c r="Y33" s="10"/>
      <c r="Z33" s="10"/>
      <c r="AA33" s="10"/>
      <c r="AB33" s="94"/>
      <c r="AC33" s="10"/>
      <c r="AD33" s="2"/>
      <c r="AE33" s="135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29"/>
      <c r="I34" s="229"/>
      <c r="W34" s="131"/>
      <c r="X34" s="10"/>
      <c r="Y34" s="10"/>
      <c r="Z34" s="10"/>
      <c r="AA34" s="10"/>
      <c r="AB34" s="94"/>
      <c r="AC34" s="10"/>
      <c r="AD34" s="2"/>
      <c r="AE34" s="135" t="e">
        <f t="shared" si="0"/>
        <v>#DIV/0!</v>
      </c>
    </row>
    <row r="35" spans="1:31" x14ac:dyDescent="0.25">
      <c r="W35" s="131"/>
      <c r="X35" s="10"/>
      <c r="Y35" s="10"/>
      <c r="Z35" s="10"/>
      <c r="AA35" s="10"/>
      <c r="AB35" s="94"/>
      <c r="AC35" s="10"/>
      <c r="AD35" s="2"/>
      <c r="AE35" s="135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1"/>
      <c r="X36" s="10"/>
      <c r="Y36" s="10"/>
      <c r="Z36" s="10"/>
      <c r="AA36" s="10"/>
      <c r="AB36" s="94"/>
      <c r="AC36" s="10"/>
      <c r="AD36" s="2"/>
      <c r="AE36" s="135" t="e">
        <f t="shared" si="0"/>
        <v>#DIV/0!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4" t="s">
        <v>5</v>
      </c>
      <c r="E37" s="384" t="s">
        <v>94</v>
      </c>
      <c r="F37" s="384" t="s">
        <v>60</v>
      </c>
      <c r="G37" s="382" t="s">
        <v>3</v>
      </c>
      <c r="H37" s="382" t="s">
        <v>6</v>
      </c>
      <c r="I37" s="384" t="s">
        <v>7</v>
      </c>
      <c r="J37" s="384" t="s">
        <v>95</v>
      </c>
      <c r="K37" s="384" t="s">
        <v>61</v>
      </c>
      <c r="L37" s="382" t="s">
        <v>77</v>
      </c>
      <c r="M37" s="382" t="s">
        <v>38</v>
      </c>
      <c r="W37" s="131"/>
      <c r="X37" s="10"/>
      <c r="Y37" s="10"/>
      <c r="Z37" s="10"/>
      <c r="AA37" s="10"/>
      <c r="AB37" s="94"/>
      <c r="AC37" s="10"/>
      <c r="AD37" s="2"/>
      <c r="AE37" s="135" t="e">
        <f t="shared" si="0"/>
        <v>#DIV/0!</v>
      </c>
    </row>
    <row r="38" spans="1:31" x14ac:dyDescent="0.25">
      <c r="A38" s="385" t="s">
        <v>344</v>
      </c>
      <c r="B38" s="375"/>
      <c r="C38" s="376"/>
      <c r="D38" s="377"/>
      <c r="E38" s="377"/>
      <c r="F38" s="377"/>
      <c r="G38" s="375"/>
      <c r="H38" s="380"/>
      <c r="I38" s="377"/>
      <c r="J38" s="377"/>
      <c r="K38" s="377"/>
      <c r="L38" s="375"/>
      <c r="M38" s="377"/>
      <c r="W38" s="131"/>
      <c r="X38" s="10"/>
      <c r="Y38" s="10"/>
      <c r="Z38" s="10"/>
      <c r="AA38" s="10"/>
      <c r="AB38" s="94"/>
      <c r="AC38" s="10"/>
      <c r="AD38" s="2"/>
      <c r="AE38" s="135" t="e">
        <f t="shared" si="0"/>
        <v>#DIV/0!</v>
      </c>
    </row>
    <row r="39" spans="1:31" x14ac:dyDescent="0.25">
      <c r="A39" s="386" t="s">
        <v>71</v>
      </c>
      <c r="B39" s="375"/>
      <c r="C39" s="376"/>
      <c r="D39" s="377"/>
      <c r="E39" s="377"/>
      <c r="F39" s="377"/>
      <c r="G39" s="375"/>
      <c r="H39" s="380"/>
      <c r="I39" s="377"/>
      <c r="J39" s="377"/>
      <c r="K39" s="377"/>
      <c r="L39" s="376"/>
      <c r="M39" s="376"/>
      <c r="W39" s="131"/>
      <c r="X39" s="10"/>
      <c r="Y39" s="10"/>
      <c r="Z39" s="10"/>
      <c r="AA39" s="10"/>
      <c r="AB39" s="94"/>
      <c r="AC39" s="10"/>
      <c r="AD39" s="2"/>
      <c r="AE39" s="135" t="e">
        <f t="shared" si="0"/>
        <v>#DIV/0!</v>
      </c>
    </row>
    <row r="40" spans="1:31" x14ac:dyDescent="0.25">
      <c r="A40" s="376"/>
      <c r="B40" s="376"/>
      <c r="C40" s="376"/>
      <c r="D40" s="377"/>
      <c r="E40" s="377"/>
      <c r="F40" s="377"/>
      <c r="G40" s="375"/>
      <c r="H40" s="380"/>
      <c r="I40" s="377"/>
      <c r="J40" s="377"/>
      <c r="K40" s="377"/>
      <c r="L40" s="376"/>
      <c r="M40" s="376"/>
      <c r="W40" s="131"/>
      <c r="X40" s="10"/>
      <c r="Y40" s="10"/>
      <c r="Z40" s="10"/>
      <c r="AA40" s="10"/>
      <c r="AB40" s="94"/>
      <c r="AC40" s="10"/>
      <c r="AD40" s="2"/>
      <c r="AE40" s="135" t="e">
        <f t="shared" si="0"/>
        <v>#DIV/0!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7"/>
      <c r="J41" s="377"/>
      <c r="K41" s="377"/>
      <c r="L41" s="376"/>
      <c r="M41" s="376"/>
      <c r="O41" s="34"/>
      <c r="R41" s="34"/>
      <c r="W41" s="131"/>
      <c r="X41" s="10"/>
      <c r="Y41" s="10"/>
      <c r="Z41" s="10"/>
      <c r="AA41" s="10"/>
      <c r="AB41" s="94"/>
      <c r="AC41" s="10"/>
      <c r="AD41" s="2"/>
      <c r="AE41" s="135" t="e">
        <f t="shared" si="0"/>
        <v>#DIV/0!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7"/>
      <c r="J42" s="377"/>
      <c r="K42" s="377"/>
      <c r="L42" s="376"/>
      <c r="M42" s="376"/>
      <c r="O42" s="586" t="s">
        <v>78</v>
      </c>
      <c r="P42" s="586"/>
      <c r="Q42" s="34"/>
      <c r="R42" s="34"/>
      <c r="T42" s="90" t="s">
        <v>112</v>
      </c>
      <c r="W42" s="131"/>
      <c r="X42" s="10"/>
      <c r="Y42" s="10"/>
      <c r="Z42" s="10"/>
      <c r="AA42" s="10"/>
      <c r="AB42" s="94"/>
      <c r="AC42" s="10"/>
      <c r="AD42" s="2"/>
      <c r="AE42" s="135" t="e">
        <f t="shared" si="0"/>
        <v>#DIV/0!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7"/>
      <c r="J43" s="377"/>
      <c r="K43" s="377"/>
      <c r="L43" s="376"/>
      <c r="M43" s="376"/>
      <c r="O43" s="82">
        <v>1.1000000000000001</v>
      </c>
      <c r="P43" s="82">
        <f>O43*$Q$4</f>
        <v>19.766999999999999</v>
      </c>
      <c r="Q43" s="34"/>
      <c r="R43" s="34"/>
      <c r="T43" s="126" t="s">
        <v>97</v>
      </c>
      <c r="U43" s="97">
        <v>32</v>
      </c>
      <c r="W43" s="131"/>
      <c r="X43" s="10"/>
      <c r="Y43" s="10"/>
      <c r="Z43" s="10"/>
      <c r="AA43" s="10"/>
      <c r="AB43" s="94"/>
      <c r="AC43" s="10"/>
      <c r="AD43" s="2"/>
      <c r="AE43" s="135" t="e">
        <f t="shared" si="0"/>
        <v>#DIV/0!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7"/>
      <c r="J44" s="377"/>
      <c r="K44" s="377"/>
      <c r="L44" s="376"/>
      <c r="M44" s="376"/>
      <c r="O44" s="82">
        <v>1.0900000000000001</v>
      </c>
      <c r="P44" s="82">
        <f t="shared" ref="P44:P63" si="1">O44*$Q$4</f>
        <v>19.587299999999999</v>
      </c>
      <c r="Q44" s="34"/>
      <c r="R44" s="34"/>
      <c r="T44" s="92" t="s">
        <v>98</v>
      </c>
      <c r="U44" s="87">
        <v>32.01</v>
      </c>
      <c r="W44" s="131"/>
      <c r="X44" s="10"/>
      <c r="Y44" s="10"/>
      <c r="Z44" s="10"/>
      <c r="AA44" s="10"/>
      <c r="AB44" s="94"/>
      <c r="AC44" s="10"/>
      <c r="AD44" s="2"/>
      <c r="AE44" s="135" t="e">
        <f t="shared" si="0"/>
        <v>#DIV/0!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7"/>
      <c r="J45" s="377"/>
      <c r="K45" s="377"/>
      <c r="L45" s="376"/>
      <c r="M45" s="376"/>
      <c r="O45" s="82">
        <v>1.08</v>
      </c>
      <c r="P45" s="82">
        <f t="shared" si="1"/>
        <v>19.407599999999999</v>
      </c>
      <c r="Q45" s="34"/>
      <c r="R45" s="34"/>
      <c r="T45" s="92" t="s">
        <v>99</v>
      </c>
      <c r="U45" s="87" t="s">
        <v>128</v>
      </c>
      <c r="W45" s="131"/>
      <c r="X45" s="10"/>
      <c r="Y45" s="10"/>
      <c r="Z45" s="10"/>
      <c r="AA45" s="10"/>
      <c r="AB45" s="94"/>
      <c r="AC45" s="10"/>
      <c r="AD45" s="2"/>
      <c r="AE45" s="135" t="e">
        <f t="shared" si="0"/>
        <v>#DIV/0!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7"/>
      <c r="J46" s="377"/>
      <c r="K46" s="377"/>
      <c r="L46" s="376"/>
      <c r="M46" s="376"/>
      <c r="O46" s="82">
        <v>1.07</v>
      </c>
      <c r="P46" s="82">
        <f t="shared" si="1"/>
        <v>19.227899999999998</v>
      </c>
      <c r="Q46" s="82"/>
      <c r="R46" s="34"/>
      <c r="T46" s="92" t="s">
        <v>100</v>
      </c>
      <c r="U46" s="87" t="s">
        <v>128</v>
      </c>
      <c r="W46" s="131"/>
      <c r="X46" s="10"/>
      <c r="Y46" s="10"/>
      <c r="Z46" s="10"/>
      <c r="AA46" s="10"/>
      <c r="AB46" s="94"/>
      <c r="AC46" s="10"/>
      <c r="AD46" s="2"/>
      <c r="AE46" s="135" t="e">
        <f t="shared" si="0"/>
        <v>#DIV/0!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7"/>
      <c r="J47" s="377"/>
      <c r="K47" s="377"/>
      <c r="L47" s="376"/>
      <c r="M47" s="376"/>
      <c r="O47" s="82">
        <v>1.06</v>
      </c>
      <c r="P47" s="82">
        <f t="shared" si="1"/>
        <v>19.048200000000001</v>
      </c>
      <c r="Q47" s="82"/>
      <c r="R47" s="34"/>
      <c r="T47" s="92" t="s">
        <v>101</v>
      </c>
      <c r="U47" s="87">
        <v>40.04</v>
      </c>
      <c r="W47" s="131"/>
      <c r="X47" s="10"/>
      <c r="Y47" s="10"/>
      <c r="Z47" s="10"/>
      <c r="AA47" s="10"/>
      <c r="AB47" s="94"/>
      <c r="AC47" s="10"/>
      <c r="AD47" s="2"/>
      <c r="AE47" s="135" t="e">
        <f t="shared" si="0"/>
        <v>#DIV/0!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7"/>
      <c r="J48" s="377"/>
      <c r="K48" s="377"/>
      <c r="L48" s="376"/>
      <c r="M48" s="376"/>
      <c r="O48" s="82">
        <v>1.05</v>
      </c>
      <c r="P48" s="82">
        <f t="shared" si="1"/>
        <v>18.868500000000001</v>
      </c>
      <c r="Q48" s="82"/>
      <c r="R48" s="34"/>
      <c r="T48" s="92" t="s">
        <v>102</v>
      </c>
      <c r="U48" s="87">
        <v>0.55986800000000003</v>
      </c>
      <c r="W48" s="131"/>
      <c r="X48" s="10"/>
      <c r="Y48" s="10"/>
      <c r="Z48" s="10"/>
      <c r="AA48" s="10"/>
      <c r="AB48" s="94"/>
      <c r="AC48" s="10"/>
      <c r="AD48" s="2"/>
      <c r="AE48" s="135" t="e">
        <f t="shared" si="0"/>
        <v>#DIV/0!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7"/>
      <c r="J49" s="377"/>
      <c r="K49" s="377"/>
      <c r="L49" s="376"/>
      <c r="M49" s="376"/>
      <c r="O49" s="82">
        <v>1.04</v>
      </c>
      <c r="P49" s="82">
        <f t="shared" si="1"/>
        <v>18.688800000000001</v>
      </c>
      <c r="Q49" s="82"/>
      <c r="R49" s="34"/>
      <c r="T49" s="92" t="s">
        <v>103</v>
      </c>
      <c r="U49" s="87" t="s">
        <v>128</v>
      </c>
      <c r="W49" s="131"/>
      <c r="X49" s="10"/>
      <c r="Y49" s="10"/>
      <c r="Z49" s="10"/>
      <c r="AA49" s="10"/>
      <c r="AB49" s="94"/>
      <c r="AC49" s="10"/>
      <c r="AD49" s="2"/>
      <c r="AE49" s="135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0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18.5091</v>
      </c>
      <c r="Q50" s="82"/>
      <c r="R50" s="34"/>
      <c r="T50" s="92"/>
      <c r="U50" s="87"/>
      <c r="W50" s="131"/>
      <c r="X50" s="10"/>
      <c r="Y50" s="10"/>
      <c r="Z50" s="10"/>
      <c r="AA50" s="10"/>
      <c r="AB50" s="94"/>
      <c r="AC50" s="10"/>
      <c r="AD50" s="2"/>
      <c r="AE50" s="135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18.3294</v>
      </c>
      <c r="Q51" s="82"/>
      <c r="R51" s="34"/>
      <c r="T51" s="92" t="s">
        <v>104</v>
      </c>
      <c r="U51" s="87" t="s">
        <v>708</v>
      </c>
      <c r="W51" s="131"/>
      <c r="X51" s="10"/>
      <c r="Y51" s="10"/>
      <c r="Z51" s="10"/>
      <c r="AA51" s="10"/>
      <c r="AB51" s="94"/>
      <c r="AC51" s="10"/>
      <c r="AD51" s="2"/>
      <c r="AE51" s="135" t="e">
        <f t="shared" si="0"/>
        <v>#DIV/0!</v>
      </c>
    </row>
    <row r="52" spans="1:31" x14ac:dyDescent="0.25">
      <c r="O52" s="82">
        <v>1.01</v>
      </c>
      <c r="P52" s="82">
        <f t="shared" si="1"/>
        <v>18.149699999999999</v>
      </c>
      <c r="Q52" s="82"/>
      <c r="R52" s="34"/>
      <c r="T52" s="92" t="s">
        <v>105</v>
      </c>
      <c r="U52" s="87" t="s">
        <v>536</v>
      </c>
      <c r="W52" s="131"/>
      <c r="X52" s="10"/>
      <c r="Y52" s="10"/>
      <c r="Z52" s="10"/>
      <c r="AA52" s="10"/>
      <c r="AB52" s="94"/>
      <c r="AC52" s="10"/>
      <c r="AD52" s="2"/>
      <c r="AE52" s="135" t="e">
        <f t="shared" si="0"/>
        <v>#DIV/0!</v>
      </c>
    </row>
    <row r="53" spans="1:31" x14ac:dyDescent="0.25">
      <c r="O53" s="82">
        <v>1</v>
      </c>
      <c r="P53" s="82">
        <f t="shared" si="1"/>
        <v>17.97</v>
      </c>
      <c r="Q53" s="82"/>
      <c r="R53" s="34"/>
      <c r="T53" s="92" t="s">
        <v>106</v>
      </c>
      <c r="U53" s="89">
        <v>4571990</v>
      </c>
      <c r="W53" s="131"/>
      <c r="X53" s="10"/>
      <c r="Y53" s="10"/>
      <c r="Z53" s="10"/>
      <c r="AA53" s="10"/>
      <c r="AB53" s="94"/>
      <c r="AC53" s="10"/>
      <c r="AD53" s="2"/>
      <c r="AE53" s="135" t="e">
        <f t="shared" si="0"/>
        <v>#DIV/0!</v>
      </c>
    </row>
    <row r="54" spans="1:31" x14ac:dyDescent="0.25">
      <c r="O54" s="82">
        <v>0.99</v>
      </c>
      <c r="P54" s="82">
        <f t="shared" si="1"/>
        <v>17.790299999999998</v>
      </c>
      <c r="Q54" s="82"/>
      <c r="R54" s="34"/>
      <c r="T54" s="92" t="s">
        <v>109</v>
      </c>
      <c r="U54" s="89">
        <v>10548200</v>
      </c>
      <c r="W54" s="131"/>
      <c r="X54" s="10"/>
      <c r="Y54" s="10"/>
      <c r="Z54" s="10"/>
      <c r="AA54" s="10"/>
      <c r="AB54" s="94"/>
      <c r="AC54" s="10"/>
      <c r="AD54" s="2"/>
      <c r="AE54" s="135" t="e">
        <f t="shared" si="0"/>
        <v>#DIV/0!</v>
      </c>
    </row>
    <row r="55" spans="1:31" x14ac:dyDescent="0.25">
      <c r="A55" s="266" t="s">
        <v>232</v>
      </c>
      <c r="B55" s="266" t="s">
        <v>113</v>
      </c>
      <c r="C55" s="266" t="s">
        <v>146</v>
      </c>
      <c r="D55" s="267" t="s">
        <v>145</v>
      </c>
      <c r="E55" s="268" t="s">
        <v>147</v>
      </c>
      <c r="F55" s="269" t="s">
        <v>65</v>
      </c>
      <c r="G55" s="270" t="s">
        <v>151</v>
      </c>
      <c r="H55" s="269" t="s">
        <v>88</v>
      </c>
      <c r="I55" s="269" t="s">
        <v>154</v>
      </c>
      <c r="O55" s="82">
        <v>0.98</v>
      </c>
      <c r="P55" s="82">
        <f t="shared" si="1"/>
        <v>17.610599999999998</v>
      </c>
      <c r="Q55" s="82"/>
      <c r="T55" s="92" t="s">
        <v>107</v>
      </c>
      <c r="U55" s="87" t="s">
        <v>709</v>
      </c>
      <c r="W55" s="131"/>
      <c r="X55" s="10"/>
      <c r="Y55" s="10"/>
      <c r="Z55" s="10"/>
      <c r="AA55" s="10"/>
      <c r="AB55" s="94"/>
      <c r="AC55" s="10"/>
      <c r="AD55" s="2"/>
      <c r="AE55" s="135" t="e">
        <f t="shared" si="0"/>
        <v>#DIV/0!</v>
      </c>
    </row>
    <row r="56" spans="1:31" x14ac:dyDescent="0.25">
      <c r="A56" s="258"/>
      <c r="B56" s="263"/>
      <c r="C56" s="258"/>
      <c r="D56" s="259"/>
      <c r="E56" s="259"/>
      <c r="F56" s="259"/>
      <c r="G56" s="259"/>
      <c r="H56" s="273"/>
      <c r="I56" s="273"/>
      <c r="O56" s="82">
        <v>0.97</v>
      </c>
      <c r="P56" s="82">
        <f t="shared" si="1"/>
        <v>17.430899999999998</v>
      </c>
      <c r="Q56" s="82"/>
      <c r="T56" s="92" t="s">
        <v>110</v>
      </c>
      <c r="U56" s="87">
        <v>456.14</v>
      </c>
      <c r="W56" s="131"/>
      <c r="X56" s="10"/>
      <c r="Y56" s="10"/>
      <c r="Z56" s="10"/>
      <c r="AA56" s="10"/>
      <c r="AB56" s="94"/>
      <c r="AC56" s="10"/>
      <c r="AD56" s="2"/>
      <c r="AE56" s="135" t="e">
        <f t="shared" si="0"/>
        <v>#DIV/0!</v>
      </c>
    </row>
    <row r="57" spans="1:31" x14ac:dyDescent="0.25">
      <c r="A57" s="258"/>
      <c r="B57" s="263"/>
      <c r="C57" s="258"/>
      <c r="D57" s="259"/>
      <c r="E57" s="259"/>
      <c r="F57" s="259"/>
      <c r="G57" s="259"/>
      <c r="H57" s="273"/>
      <c r="I57" s="273"/>
      <c r="O57" s="82">
        <v>0.96</v>
      </c>
      <c r="P57" s="82">
        <f t="shared" si="1"/>
        <v>17.251199999999997</v>
      </c>
      <c r="Q57" s="82"/>
      <c r="T57" s="92" t="s">
        <v>111</v>
      </c>
      <c r="U57" s="87">
        <v>7.0000000000000007E-2</v>
      </c>
      <c r="W57" s="131"/>
      <c r="X57" s="10"/>
      <c r="Y57" s="10"/>
      <c r="Z57" s="10"/>
      <c r="AA57" s="10"/>
      <c r="AB57" s="94"/>
      <c r="AC57" s="10"/>
      <c r="AD57" s="2"/>
      <c r="AE57" s="135" t="e">
        <f t="shared" si="0"/>
        <v>#DIV/0!</v>
      </c>
    </row>
    <row r="58" spans="1:31" x14ac:dyDescent="0.25">
      <c r="A58" s="258"/>
      <c r="B58" s="263"/>
      <c r="C58" s="258"/>
      <c r="D58" s="259"/>
      <c r="E58" s="259"/>
      <c r="F58" s="259"/>
      <c r="G58" s="259"/>
      <c r="H58" s="273"/>
      <c r="I58" s="273"/>
      <c r="O58" s="82">
        <v>0.95</v>
      </c>
      <c r="P58" s="82">
        <f t="shared" si="1"/>
        <v>17.071499999999997</v>
      </c>
      <c r="Q58" s="82"/>
      <c r="T58" s="92" t="s">
        <v>108</v>
      </c>
      <c r="U58" s="87" t="s">
        <v>597</v>
      </c>
      <c r="W58" s="131"/>
      <c r="X58" s="10"/>
      <c r="Y58" s="10"/>
      <c r="Z58" s="10"/>
      <c r="AA58" s="10"/>
      <c r="AB58" s="94"/>
      <c r="AC58" s="10"/>
      <c r="AD58" s="2"/>
      <c r="AE58" s="135" t="e">
        <f t="shared" si="0"/>
        <v>#DIV/0!</v>
      </c>
    </row>
    <row r="59" spans="1:31" x14ac:dyDescent="0.25">
      <c r="A59" s="258"/>
      <c r="B59" s="263"/>
      <c r="C59" s="258"/>
      <c r="D59" s="259"/>
      <c r="E59" s="259"/>
      <c r="F59" s="259"/>
      <c r="G59" s="259"/>
      <c r="H59" s="273"/>
      <c r="I59" s="273"/>
      <c r="O59" s="82">
        <v>0.94</v>
      </c>
      <c r="P59" s="82">
        <f t="shared" si="1"/>
        <v>16.891799999999996</v>
      </c>
      <c r="Q59" s="82"/>
      <c r="W59" s="131"/>
      <c r="X59" s="10"/>
      <c r="Y59" s="10"/>
      <c r="Z59" s="10"/>
      <c r="AA59" s="10"/>
      <c r="AB59" s="94"/>
      <c r="AC59" s="10"/>
      <c r="AD59" s="2"/>
      <c r="AE59" s="135" t="e">
        <f t="shared" si="0"/>
        <v>#DIV/0!</v>
      </c>
    </row>
    <row r="60" spans="1:31" x14ac:dyDescent="0.25">
      <c r="A60" s="258"/>
      <c r="B60" s="263"/>
      <c r="C60" s="258"/>
      <c r="D60" s="259"/>
      <c r="E60" s="259"/>
      <c r="F60" s="259"/>
      <c r="G60" s="259"/>
      <c r="H60" s="271"/>
      <c r="I60" s="271"/>
      <c r="O60" s="82">
        <v>0.93</v>
      </c>
      <c r="P60" s="82">
        <f t="shared" si="1"/>
        <v>16.7121</v>
      </c>
      <c r="Q60" s="82"/>
      <c r="W60" s="131"/>
      <c r="X60" s="10"/>
      <c r="Y60" s="10"/>
      <c r="Z60" s="10"/>
      <c r="AA60" s="10"/>
      <c r="AB60" s="94"/>
      <c r="AC60" s="10"/>
      <c r="AD60" s="2"/>
      <c r="AE60" s="135" t="e">
        <f t="shared" si="0"/>
        <v>#DIV/0!</v>
      </c>
    </row>
    <row r="61" spans="1:31" x14ac:dyDescent="0.25">
      <c r="A61" s="258"/>
      <c r="B61" s="263"/>
      <c r="C61" s="258"/>
      <c r="D61" s="259"/>
      <c r="E61" s="259"/>
      <c r="F61" s="259"/>
      <c r="G61" s="259"/>
      <c r="H61" s="271"/>
      <c r="I61" s="271"/>
      <c r="O61" s="82">
        <v>0.92</v>
      </c>
      <c r="P61" s="82">
        <f t="shared" si="1"/>
        <v>16.532399999999999</v>
      </c>
      <c r="Q61" s="82"/>
      <c r="W61" s="131"/>
      <c r="X61" s="10"/>
      <c r="Y61" s="10"/>
      <c r="Z61" s="10"/>
      <c r="AA61" s="10"/>
      <c r="AB61" s="94"/>
      <c r="AC61" s="10"/>
      <c r="AD61" s="2"/>
      <c r="AE61" s="135" t="e">
        <f t="shared" si="0"/>
        <v>#DIV/0!</v>
      </c>
    </row>
    <row r="62" spans="1:31" x14ac:dyDescent="0.25">
      <c r="A62" s="258"/>
      <c r="B62" s="263"/>
      <c r="C62" s="258"/>
      <c r="D62" s="259"/>
      <c r="E62" s="259"/>
      <c r="F62" s="259"/>
      <c r="G62" s="259"/>
      <c r="H62" s="271"/>
      <c r="I62" s="271"/>
      <c r="O62" s="82">
        <v>0.91</v>
      </c>
      <c r="P62" s="82">
        <f t="shared" si="1"/>
        <v>16.352699999999999</v>
      </c>
      <c r="Q62" s="82"/>
      <c r="W62" s="131"/>
      <c r="X62" s="10"/>
      <c r="Y62" s="10"/>
      <c r="Z62" s="10"/>
      <c r="AA62" s="10"/>
      <c r="AB62" s="94"/>
      <c r="AC62" s="10"/>
      <c r="AD62" s="2"/>
      <c r="AE62" s="135" t="e">
        <f t="shared" si="0"/>
        <v>#DIV/0!</v>
      </c>
    </row>
    <row r="63" spans="1:31" x14ac:dyDescent="0.25">
      <c r="A63" s="258"/>
      <c r="B63" s="263"/>
      <c r="C63" s="258"/>
      <c r="D63" s="259"/>
      <c r="E63" s="259"/>
      <c r="F63" s="259"/>
      <c r="G63" s="259"/>
      <c r="H63" s="271"/>
      <c r="I63" s="271"/>
      <c r="O63" s="82">
        <v>0.9</v>
      </c>
      <c r="P63" s="82">
        <f t="shared" si="1"/>
        <v>16.172999999999998</v>
      </c>
      <c r="Q63" s="82"/>
      <c r="W63" s="131"/>
      <c r="X63" s="10"/>
      <c r="Y63" s="10"/>
      <c r="Z63" s="10"/>
      <c r="AA63" s="10"/>
      <c r="AB63" s="94"/>
      <c r="AC63" s="10"/>
      <c r="AD63" s="2"/>
      <c r="AE63" s="135" t="e">
        <f t="shared" si="0"/>
        <v>#DIV/0!</v>
      </c>
    </row>
    <row r="64" spans="1:31" x14ac:dyDescent="0.25">
      <c r="A64" s="258"/>
      <c r="B64" s="263"/>
      <c r="C64" s="258"/>
      <c r="D64" s="259"/>
      <c r="E64" s="259"/>
      <c r="F64" s="259"/>
      <c r="G64" s="259"/>
      <c r="H64" s="271"/>
      <c r="I64" s="271"/>
      <c r="O64" s="34"/>
      <c r="W64" s="131"/>
      <c r="X64" s="10"/>
      <c r="Y64" s="10"/>
      <c r="Z64" s="10"/>
      <c r="AA64" s="10"/>
      <c r="AB64" s="94"/>
      <c r="AC64" s="10"/>
      <c r="AD64" s="2"/>
      <c r="AE64" s="135" t="e">
        <f t="shared" si="0"/>
        <v>#DIV/0!</v>
      </c>
    </row>
    <row r="65" spans="1:31" x14ac:dyDescent="0.25">
      <c r="A65" s="258"/>
      <c r="B65" s="263"/>
      <c r="C65" s="258"/>
      <c r="D65" s="259"/>
      <c r="E65" s="259"/>
      <c r="F65" s="259"/>
      <c r="G65" s="259"/>
      <c r="H65" s="271"/>
      <c r="I65" s="271"/>
      <c r="W65" s="131"/>
      <c r="X65" s="10"/>
      <c r="Y65" s="10"/>
      <c r="Z65" s="10"/>
      <c r="AA65" s="10"/>
      <c r="AB65" s="94"/>
      <c r="AC65" s="10"/>
      <c r="AD65" s="2"/>
      <c r="AE65" s="135" t="e">
        <f t="shared" si="0"/>
        <v>#DIV/0!</v>
      </c>
    </row>
    <row r="66" spans="1:31" x14ac:dyDescent="0.25">
      <c r="A66" s="258"/>
      <c r="B66" s="263"/>
      <c r="C66" s="258"/>
      <c r="D66" s="259"/>
      <c r="E66" s="259"/>
      <c r="F66" s="259"/>
      <c r="G66" s="259"/>
      <c r="H66" s="271"/>
      <c r="I66" s="271"/>
      <c r="W66" s="131"/>
      <c r="X66" s="10"/>
      <c r="Y66" s="10"/>
      <c r="Z66" s="10"/>
      <c r="AA66" s="10"/>
      <c r="AB66" s="94"/>
      <c r="AC66" s="10"/>
      <c r="AD66" s="2"/>
      <c r="AE66" s="135" t="e">
        <f t="shared" si="0"/>
        <v>#DIV/0!</v>
      </c>
    </row>
    <row r="67" spans="1:31" x14ac:dyDescent="0.25">
      <c r="A67" s="258"/>
      <c r="B67" s="263"/>
      <c r="C67" s="258"/>
      <c r="D67" s="259"/>
      <c r="E67" s="259"/>
      <c r="F67" s="259"/>
      <c r="G67" s="259"/>
      <c r="H67" s="271"/>
      <c r="I67" s="271"/>
      <c r="W67" s="131"/>
      <c r="X67" s="10"/>
      <c r="Y67" s="10"/>
      <c r="Z67" s="10"/>
      <c r="AA67" s="10"/>
      <c r="AB67" s="94"/>
      <c r="AC67" s="10"/>
      <c r="AD67" s="2"/>
      <c r="AE67" s="135" t="e">
        <f>AC67/AC68-1</f>
        <v>#DIV/0!</v>
      </c>
    </row>
    <row r="68" spans="1:31" x14ac:dyDescent="0.25">
      <c r="A68" s="258"/>
      <c r="B68" s="258"/>
      <c r="C68" s="258"/>
      <c r="D68" s="259"/>
      <c r="E68" s="259"/>
      <c r="F68" s="259"/>
      <c r="G68" s="259"/>
      <c r="H68" s="271"/>
      <c r="I68" s="271"/>
      <c r="W68" s="131"/>
      <c r="X68" s="10"/>
      <c r="Y68" s="10"/>
      <c r="Z68" s="10"/>
      <c r="AA68" s="10"/>
      <c r="AB68" s="94"/>
      <c r="AC68" s="10"/>
      <c r="AD68" s="2"/>
      <c r="AE68" s="135" t="e">
        <f>AC68/AC69-1</f>
        <v>#DIV/0!</v>
      </c>
    </row>
    <row r="69" spans="1:31" x14ac:dyDescent="0.25">
      <c r="A69" s="258"/>
      <c r="B69" s="258"/>
      <c r="C69" s="258"/>
      <c r="D69" s="259"/>
      <c r="E69" s="259"/>
      <c r="F69" s="259"/>
      <c r="G69" s="259"/>
      <c r="H69" s="271"/>
      <c r="I69" s="271"/>
      <c r="O69" s="34"/>
      <c r="W69" s="281"/>
      <c r="AB69" s="232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8">
    <cfRule type="expression" dxfId="187" priority="61">
      <formula>H26&gt;0</formula>
    </cfRule>
    <cfRule type="expression" dxfId="186" priority="62">
      <formula>H26&lt;0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2"/>
      <c r="I2" s="3"/>
      <c r="J2" s="3"/>
      <c r="K2" s="3"/>
      <c r="L2" s="73"/>
      <c r="M2" s="3"/>
      <c r="O2" s="11" t="s">
        <v>57</v>
      </c>
      <c r="Q2">
        <f>C18-H18</f>
        <v>0</v>
      </c>
      <c r="W2" s="131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5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4"/>
      <c r="M3" s="4"/>
      <c r="O3" s="11" t="s">
        <v>58</v>
      </c>
      <c r="Q3" s="227">
        <f>IF(Q2=0, Q4, (F18-K18-M18)/Q2)</f>
        <v>101.51</v>
      </c>
      <c r="T3" s="1"/>
      <c r="W3" s="131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5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2"/>
      <c r="I4" s="3"/>
      <c r="J4" s="3"/>
      <c r="K4" s="3"/>
      <c r="L4" s="4"/>
      <c r="M4" s="4"/>
      <c r="O4" s="11" t="s">
        <v>66</v>
      </c>
      <c r="Q4" s="55">
        <v>101.51</v>
      </c>
      <c r="R4" s="497">
        <v>1.1000000000000001E-3</v>
      </c>
      <c r="T4" s="160"/>
      <c r="W4" s="131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5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2"/>
      <c r="I5" s="3"/>
      <c r="J5" s="3"/>
      <c r="K5" s="3"/>
      <c r="L5" s="4"/>
      <c r="M5" s="4"/>
      <c r="O5" s="11" t="s">
        <v>67</v>
      </c>
      <c r="Q5" s="3">
        <f>Q4*Q2</f>
        <v>0</v>
      </c>
      <c r="W5" s="131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5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2"/>
      <c r="I6" s="3"/>
      <c r="J6" s="3"/>
      <c r="K6" s="3"/>
      <c r="L6" s="4"/>
      <c r="M6" s="4"/>
      <c r="O6" s="11" t="s">
        <v>64</v>
      </c>
      <c r="Q6" s="2">
        <f>Q3*Q2</f>
        <v>0</v>
      </c>
      <c r="W6" s="131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5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2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1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5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2"/>
      <c r="I8" s="3"/>
      <c r="J8" s="3"/>
      <c r="K8" s="3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5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2"/>
      <c r="I9" s="3"/>
      <c r="J9" s="3"/>
      <c r="K9" s="3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5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4"/>
      <c r="Q10" s="2">
        <f>M81</f>
        <v>257.30999999999949</v>
      </c>
      <c r="W10" s="131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5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4"/>
      <c r="Q11" s="135">
        <f>VALUE(TRIM(CLEAN(MID(U58, FIND("(", U58)+1, 5))))</f>
        <v>1.38E-2</v>
      </c>
      <c r="W11" s="131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5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1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5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1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5">
        <f t="shared" si="1"/>
        <v>-8.5174341229703465E-3</v>
      </c>
    </row>
    <row r="14" spans="1:31" x14ac:dyDescent="0.25">
      <c r="W14" s="131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5">
        <f t="shared" si="1"/>
        <v>8.5003579098066329E-3</v>
      </c>
    </row>
    <row r="15" spans="1:31" x14ac:dyDescent="0.25">
      <c r="W15" s="131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5">
        <f t="shared" si="1"/>
        <v>4.4758750335693875E-4</v>
      </c>
    </row>
    <row r="16" spans="1:31" x14ac:dyDescent="0.25">
      <c r="W16" s="131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5">
        <f t="shared" si="1"/>
        <v>-1.4302315187272319E-3</v>
      </c>
    </row>
    <row r="17" spans="1:31" x14ac:dyDescent="0.25">
      <c r="W17" s="131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5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1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5">
        <f t="shared" si="1"/>
        <v>7.0839311334289778E-3</v>
      </c>
    </row>
    <row r="19" spans="1:31" ht="15.75" thickBot="1" x14ac:dyDescent="0.3">
      <c r="A19" s="351" t="s">
        <v>195</v>
      </c>
      <c r="B19" s="352"/>
      <c r="C19" s="353">
        <f>SumByColor($A$19,C2:C17)</f>
        <v>0</v>
      </c>
      <c r="D19" s="353"/>
      <c r="E19" s="353"/>
      <c r="F19" s="354">
        <f>SumByColor($A$19,F2:F17)</f>
        <v>0</v>
      </c>
      <c r="G19" s="353"/>
      <c r="H19" s="353">
        <f>SumByColor($A$19,H2:H17)</f>
        <v>0</v>
      </c>
      <c r="I19" s="353"/>
      <c r="J19" s="353"/>
      <c r="K19" s="354">
        <f>SumByColor($A$19,K2:K17)</f>
        <v>0</v>
      </c>
      <c r="L19" s="353"/>
      <c r="M19" s="354">
        <f>SumByColor($A$19,M2:M17)</f>
        <v>0</v>
      </c>
      <c r="W19" s="131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5">
        <f t="shared" si="1"/>
        <v>5.4093040028848627E-3</v>
      </c>
    </row>
    <row r="20" spans="1:31" x14ac:dyDescent="0.25">
      <c r="W20" s="131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5">
        <f t="shared" si="1"/>
        <v>-9.9072322795645817E-4</v>
      </c>
    </row>
    <row r="21" spans="1:31" x14ac:dyDescent="0.25">
      <c r="W21" s="131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5">
        <f t="shared" si="1"/>
        <v>1.7141826055575571E-3</v>
      </c>
    </row>
    <row r="22" spans="1:31" x14ac:dyDescent="0.25">
      <c r="W22" s="131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5">
        <f t="shared" si="1"/>
        <v>-1.8040772145044848E-4</v>
      </c>
    </row>
    <row r="23" spans="1:31" x14ac:dyDescent="0.25">
      <c r="W23" s="131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5">
        <f t="shared" si="1"/>
        <v>1.7168157585614185E-3</v>
      </c>
    </row>
    <row r="24" spans="1:31" x14ac:dyDescent="0.25">
      <c r="B24" s="188" t="s">
        <v>113</v>
      </c>
      <c r="C24" s="188" t="s">
        <v>146</v>
      </c>
      <c r="D24" s="189" t="s">
        <v>145</v>
      </c>
      <c r="E24" s="191" t="s">
        <v>147</v>
      </c>
      <c r="F24" s="191" t="s">
        <v>65</v>
      </c>
      <c r="G24" s="226" t="s">
        <v>151</v>
      </c>
      <c r="H24" s="226" t="s">
        <v>88</v>
      </c>
      <c r="I24" s="226" t="s">
        <v>154</v>
      </c>
      <c r="W24" s="131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5">
        <f t="shared" si="1"/>
        <v>-5.1240560949298297E-3</v>
      </c>
    </row>
    <row r="25" spans="1:31" x14ac:dyDescent="0.25">
      <c r="B25" s="19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8"/>
      <c r="I25" s="40"/>
      <c r="W25" s="131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5">
        <f t="shared" si="1"/>
        <v>5.8775657835246076E-3</v>
      </c>
    </row>
    <row r="26" spans="1:31" x14ac:dyDescent="0.25">
      <c r="B26" s="190">
        <v>42374</v>
      </c>
      <c r="C26" s="257">
        <v>25</v>
      </c>
      <c r="D26" s="233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8">
        <f>(E26-D26)/D26</f>
        <v>1.5131393617449444E-2</v>
      </c>
      <c r="I26" s="40"/>
      <c r="W26" s="131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5">
        <f t="shared" si="1"/>
        <v>-4.0525936599423718E-3</v>
      </c>
    </row>
    <row r="27" spans="1:31" x14ac:dyDescent="0.25">
      <c r="B27" s="190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8">
        <f>(E27-D27)/D27</f>
        <v>-4.2818624491931266E-2</v>
      </c>
      <c r="I27" s="40"/>
      <c r="W27" s="131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5">
        <f t="shared" si="1"/>
        <v>8.6293032973021599E-3</v>
      </c>
    </row>
    <row r="28" spans="1:31" x14ac:dyDescent="0.25">
      <c r="B28" s="190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8">
        <f t="shared" ref="H28:H36" si="3">(E28-D28)/D28</f>
        <v>-3.346973035358302E-2</v>
      </c>
      <c r="I28" s="40"/>
      <c r="W28" s="131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5">
        <f t="shared" si="1"/>
        <v>-1.2700716683298197E-3</v>
      </c>
    </row>
    <row r="29" spans="1:31" x14ac:dyDescent="0.25">
      <c r="B29" s="190">
        <v>42416</v>
      </c>
      <c r="C29" s="257">
        <v>25</v>
      </c>
      <c r="D29" s="233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8">
        <f t="shared" si="3"/>
        <v>-4.5956110261602609E-2</v>
      </c>
      <c r="I29" s="40"/>
      <c r="W29" s="131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5">
        <f t="shared" si="1"/>
        <v>-8.158085569252016E-4</v>
      </c>
    </row>
    <row r="30" spans="1:31" x14ac:dyDescent="0.25">
      <c r="B30" s="190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8">
        <f t="shared" si="3"/>
        <v>-1.8370045873455299E-2</v>
      </c>
      <c r="I30" s="40"/>
      <c r="W30" s="131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5">
        <f t="shared" si="1"/>
        <v>5.37683404720668E-3</v>
      </c>
    </row>
    <row r="31" spans="1:31" x14ac:dyDescent="0.25">
      <c r="B31" s="190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8">
        <f t="shared" si="3"/>
        <v>8.9060627350498918E-3</v>
      </c>
      <c r="I31" s="40"/>
      <c r="W31" s="131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5">
        <f t="shared" si="1"/>
        <v>-3.5415909916455268E-3</v>
      </c>
    </row>
    <row r="32" spans="1:31" x14ac:dyDescent="0.25">
      <c r="B32" s="190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8">
        <f t="shared" si="3"/>
        <v>2.4924680434270562E-2</v>
      </c>
      <c r="I32" s="40"/>
      <c r="W32" s="131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5">
        <f t="shared" si="1"/>
        <v>9.9990909917280213E-4</v>
      </c>
    </row>
    <row r="33" spans="2:31" x14ac:dyDescent="0.25">
      <c r="B33" s="190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8">
        <f t="shared" si="3"/>
        <v>-5.3477924858143155E-3</v>
      </c>
      <c r="I33" s="40"/>
      <c r="W33" s="131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5">
        <f t="shared" si="1"/>
        <v>-4.5429765582405413E-4</v>
      </c>
    </row>
    <row r="34" spans="2:31" x14ac:dyDescent="0.25">
      <c r="B34" s="190">
        <v>42482</v>
      </c>
      <c r="C34" s="234">
        <v>15</v>
      </c>
      <c r="D34" s="235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8">
        <f t="shared" si="3"/>
        <v>0.12515459891075559</v>
      </c>
      <c r="I34" s="40"/>
      <c r="W34" s="131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5">
        <f t="shared" si="1"/>
        <v>-5.8711950140004632E-3</v>
      </c>
    </row>
    <row r="35" spans="2:31" x14ac:dyDescent="0.25">
      <c r="B35" s="190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8">
        <f t="shared" si="3"/>
        <v>0.14500835376570398</v>
      </c>
      <c r="I35" s="40"/>
      <c r="W35" s="131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5">
        <f t="shared" si="1"/>
        <v>4.8103104011616438E-3</v>
      </c>
    </row>
    <row r="36" spans="2:31" x14ac:dyDescent="0.25">
      <c r="B36" s="190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8">
        <f t="shared" si="3"/>
        <v>0.10345650617310724</v>
      </c>
      <c r="I36" s="40"/>
      <c r="W36" s="131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5">
        <f t="shared" si="1"/>
        <v>-1.3595576905646167E-3</v>
      </c>
    </row>
    <row r="37" spans="2:31" x14ac:dyDescent="0.25">
      <c r="B37" s="190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8">
        <f t="shared" ref="H37:H42" si="7">(E37-D37)/D37</f>
        <v>3.8470718423850456E-2</v>
      </c>
      <c r="I37" s="40"/>
      <c r="W37" s="131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5">
        <f t="shared" si="1"/>
        <v>6.2015503875967326E-3</v>
      </c>
    </row>
    <row r="38" spans="2:31" x14ac:dyDescent="0.25">
      <c r="B38" s="190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8">
        <f t="shared" si="7"/>
        <v>8.4687655955041519E-2</v>
      </c>
      <c r="I38" s="40"/>
      <c r="W38" s="131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5">
        <f t="shared" si="1"/>
        <v>3.5694673256452258E-3</v>
      </c>
    </row>
    <row r="39" spans="2:31" x14ac:dyDescent="0.25">
      <c r="B39" s="190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8">
        <f t="shared" si="7"/>
        <v>7.9154642306941136E-2</v>
      </c>
      <c r="I39" s="40"/>
      <c r="W39" s="131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5">
        <f t="shared" si="1"/>
        <v>-2.1006484610466281E-3</v>
      </c>
    </row>
    <row r="40" spans="2:31" ht="20.25" thickBot="1" x14ac:dyDescent="0.35">
      <c r="B40" s="190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8">
        <f t="shared" si="7"/>
        <v>6.55933343459109E-2</v>
      </c>
      <c r="I40" s="40"/>
      <c r="O40" s="716" t="s">
        <v>78</v>
      </c>
      <c r="P40" s="716"/>
      <c r="W40" s="131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5">
        <f t="shared" si="1"/>
        <v>4.4954128440366503E-3</v>
      </c>
    </row>
    <row r="41" spans="2:31" ht="15.75" thickTop="1" x14ac:dyDescent="0.25">
      <c r="B41" s="190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8">
        <f t="shared" si="7"/>
        <v>6.0060320697810518E-2</v>
      </c>
      <c r="I41" s="40"/>
      <c r="O41" s="82">
        <v>1.1000000000000001</v>
      </c>
      <c r="P41" s="82">
        <f>O41*$Q$4</f>
        <v>111.66100000000002</v>
      </c>
      <c r="Q41" s="2"/>
      <c r="W41" s="131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5">
        <f t="shared" si="1"/>
        <v>0</v>
      </c>
    </row>
    <row r="42" spans="2:31" ht="20.25" thickBot="1" x14ac:dyDescent="0.35">
      <c r="B42" s="190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8">
        <f t="shared" si="7"/>
        <v>5.6588625859786856E-2</v>
      </c>
      <c r="I42" s="40"/>
      <c r="O42" s="82">
        <v>1.0900000000000001</v>
      </c>
      <c r="P42" s="82">
        <f t="shared" ref="P42:P61" si="8">O42*$Q$4</f>
        <v>110.64590000000001</v>
      </c>
      <c r="Q42" s="2"/>
      <c r="T42" s="90" t="s">
        <v>112</v>
      </c>
      <c r="W42" s="131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5">
        <f t="shared" si="1"/>
        <v>-5.2021538742356155E-3</v>
      </c>
    </row>
    <row r="43" spans="2:31" ht="15.75" thickTop="1" x14ac:dyDescent="0.25">
      <c r="B43" s="190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8">
        <f t="shared" ref="H43:H65" si="11">(E43-D43)/D43</f>
        <v>4.8994293401609899E-2</v>
      </c>
      <c r="I43" s="40"/>
      <c r="O43" s="82">
        <v>1.08</v>
      </c>
      <c r="P43" s="82">
        <f t="shared" si="8"/>
        <v>109.63080000000001</v>
      </c>
      <c r="Q43" s="2"/>
      <c r="T43" s="126" t="s">
        <v>97</v>
      </c>
      <c r="U43" s="97">
        <v>113.04</v>
      </c>
      <c r="W43" s="131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5">
        <f t="shared" si="1"/>
        <v>-6.6183136899365946E-3</v>
      </c>
    </row>
    <row r="44" spans="2:31" x14ac:dyDescent="0.25">
      <c r="B44" s="190">
        <v>42579</v>
      </c>
      <c r="C44" s="234">
        <v>15</v>
      </c>
      <c r="D44" s="235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8">
        <f t="shared" si="11"/>
        <v>4.8609288900551016E-2</v>
      </c>
      <c r="I44" s="40" t="s">
        <v>186</v>
      </c>
      <c r="O44" s="82">
        <v>1.07</v>
      </c>
      <c r="P44" s="82">
        <f t="shared" si="8"/>
        <v>108.61570000000002</v>
      </c>
      <c r="Q44" s="2"/>
      <c r="T44" s="92" t="s">
        <v>98</v>
      </c>
      <c r="U44" s="87">
        <v>113.58</v>
      </c>
      <c r="W44" s="131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5">
        <f t="shared" si="1"/>
        <v>-2.8026399059759566E-3</v>
      </c>
    </row>
    <row r="45" spans="2:31" x14ac:dyDescent="0.25">
      <c r="B45" s="190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8">
        <f t="shared" si="11"/>
        <v>2.1336882325162062E-2</v>
      </c>
      <c r="I45" s="40"/>
      <c r="O45" s="82">
        <v>1.06</v>
      </c>
      <c r="P45" s="82">
        <f t="shared" si="8"/>
        <v>107.60060000000001</v>
      </c>
      <c r="Q45" s="2"/>
      <c r="T45" s="92" t="s">
        <v>99</v>
      </c>
      <c r="U45" s="87" t="s">
        <v>128</v>
      </c>
      <c r="W45" s="131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5">
        <f t="shared" si="1"/>
        <v>-6.1994609164420789E-3</v>
      </c>
    </row>
    <row r="46" spans="2:31" x14ac:dyDescent="0.25">
      <c r="B46" s="190">
        <v>42593</v>
      </c>
      <c r="C46" s="234">
        <v>15</v>
      </c>
      <c r="D46" s="235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8">
        <f t="shared" si="11"/>
        <v>0.10618768792530471</v>
      </c>
      <c r="I46" s="40"/>
      <c r="O46" s="82">
        <v>1.05</v>
      </c>
      <c r="P46" s="82">
        <f t="shared" si="8"/>
        <v>106.58550000000001</v>
      </c>
      <c r="Q46" s="2"/>
      <c r="T46" s="92" t="s">
        <v>100</v>
      </c>
      <c r="U46" s="87" t="s">
        <v>128</v>
      </c>
      <c r="W46" s="131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5">
        <f t="shared" si="1"/>
        <v>5.8743786714865465E-3</v>
      </c>
    </row>
    <row r="47" spans="2:31" x14ac:dyDescent="0.25">
      <c r="B47" s="190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8">
        <f t="shared" si="11"/>
        <v>4.7939735370933899E-2</v>
      </c>
      <c r="I47" s="40"/>
      <c r="O47" s="82">
        <v>1.04</v>
      </c>
      <c r="P47" s="82">
        <f t="shared" si="8"/>
        <v>105.57040000000001</v>
      </c>
      <c r="Q47" s="2"/>
      <c r="T47" s="92" t="s">
        <v>101</v>
      </c>
      <c r="U47" s="87">
        <v>117.65</v>
      </c>
      <c r="W47" s="131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5">
        <f t="shared" si="1"/>
        <v>-2.614025599423031E-3</v>
      </c>
    </row>
    <row r="48" spans="2:31" x14ac:dyDescent="0.25">
      <c r="B48" s="190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8">
        <f t="shared" si="11"/>
        <v>4.3083166051501268E-2</v>
      </c>
      <c r="I48" s="40"/>
      <c r="O48" s="82">
        <v>1.03</v>
      </c>
      <c r="P48" s="82">
        <f t="shared" si="8"/>
        <v>104.5553</v>
      </c>
      <c r="Q48" s="2"/>
      <c r="T48" s="92" t="s">
        <v>102</v>
      </c>
      <c r="U48" s="87">
        <v>1.32412</v>
      </c>
      <c r="W48" s="131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5">
        <f t="shared" si="1"/>
        <v>1.5004574565416373E-2</v>
      </c>
    </row>
    <row r="49" spans="2:31" x14ac:dyDescent="0.25">
      <c r="B49" s="190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8">
        <f t="shared" si="11"/>
        <v>3.4665112564484485E-2</v>
      </c>
      <c r="I49" s="40"/>
      <c r="O49" s="82">
        <v>1.02</v>
      </c>
      <c r="P49" s="82">
        <f t="shared" si="8"/>
        <v>103.54020000000001</v>
      </c>
      <c r="Q49" s="2"/>
      <c r="T49" s="92" t="s">
        <v>103</v>
      </c>
      <c r="U49" s="87" t="s">
        <v>551</v>
      </c>
      <c r="W49" s="131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5">
        <f t="shared" si="1"/>
        <v>1.1475106422357939E-2</v>
      </c>
    </row>
    <row r="50" spans="2:31" x14ac:dyDescent="0.25">
      <c r="B50" s="190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8">
        <f t="shared" si="11"/>
        <v>3.1211552159554446E-2</v>
      </c>
      <c r="I50" s="40"/>
      <c r="O50" s="82">
        <v>1.01</v>
      </c>
      <c r="P50" s="82">
        <f t="shared" si="8"/>
        <v>102.52510000000001</v>
      </c>
      <c r="Q50" s="2"/>
      <c r="T50" s="92"/>
      <c r="U50" s="87"/>
      <c r="W50" s="131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5">
        <f t="shared" si="1"/>
        <v>1.8511662347275859E-4</v>
      </c>
    </row>
    <row r="51" spans="2:31" x14ac:dyDescent="0.25">
      <c r="B51" s="190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8">
        <f t="shared" si="11"/>
        <v>1.4309602316222615E-2</v>
      </c>
      <c r="I51" s="40"/>
      <c r="O51" s="82">
        <v>1</v>
      </c>
      <c r="P51" s="82">
        <f t="shared" si="8"/>
        <v>101.51</v>
      </c>
      <c r="Q51" s="2"/>
      <c r="T51" s="92" t="s">
        <v>104</v>
      </c>
      <c r="U51" s="87" t="s">
        <v>710</v>
      </c>
      <c r="W51" s="131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5">
        <f t="shared" si="1"/>
        <v>1.2974976830397722E-3</v>
      </c>
    </row>
    <row r="52" spans="2:31" x14ac:dyDescent="0.25">
      <c r="B52" s="190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8">
        <f t="shared" si="11"/>
        <v>9.4983941256217615E-3</v>
      </c>
      <c r="I52" s="40"/>
      <c r="O52" s="82">
        <v>0.99</v>
      </c>
      <c r="P52" s="82">
        <f t="shared" si="8"/>
        <v>100.4949</v>
      </c>
      <c r="Q52" s="2"/>
      <c r="T52" s="92" t="s">
        <v>105</v>
      </c>
      <c r="U52" s="87" t="s">
        <v>711</v>
      </c>
      <c r="W52" s="131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5">
        <f t="shared" si="1"/>
        <v>7.2815533980583602E-3</v>
      </c>
    </row>
    <row r="53" spans="2:31" x14ac:dyDescent="0.25">
      <c r="B53" s="190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8">
        <f t="shared" si="11"/>
        <v>2.8696183963494663E-3</v>
      </c>
      <c r="I53" s="40"/>
      <c r="O53" s="82">
        <v>0.98</v>
      </c>
      <c r="P53" s="82">
        <f t="shared" si="8"/>
        <v>99.479799999999997</v>
      </c>
      <c r="Q53" s="2"/>
      <c r="T53" s="92" t="s">
        <v>106</v>
      </c>
      <c r="U53" s="89">
        <v>4795081</v>
      </c>
      <c r="W53" s="131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5">
        <f t="shared" si="1"/>
        <v>-5.0157904514210871E-3</v>
      </c>
    </row>
    <row r="54" spans="2:31" x14ac:dyDescent="0.25">
      <c r="B54" s="190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8">
        <f t="shared" si="11"/>
        <v>1.9073767582292653E-3</v>
      </c>
      <c r="I54" s="40"/>
      <c r="O54" s="82">
        <v>0.97</v>
      </c>
      <c r="P54" s="82">
        <f t="shared" si="8"/>
        <v>98.464700000000008</v>
      </c>
      <c r="T54" s="92" t="s">
        <v>109</v>
      </c>
      <c r="U54" s="89">
        <v>6370320</v>
      </c>
      <c r="W54" s="131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5">
        <f t="shared" si="1"/>
        <v>3.5421327367635147E-3</v>
      </c>
    </row>
    <row r="55" spans="2:31" x14ac:dyDescent="0.25">
      <c r="B55" s="190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8">
        <f t="shared" si="11"/>
        <v>5.9701747858478416E-3</v>
      </c>
      <c r="I55" s="40"/>
      <c r="O55" s="82">
        <v>0.96</v>
      </c>
      <c r="P55" s="82">
        <f t="shared" si="8"/>
        <v>97.449600000000004</v>
      </c>
      <c r="T55" s="92" t="s">
        <v>107</v>
      </c>
      <c r="U55" s="87" t="s">
        <v>712</v>
      </c>
      <c r="W55" s="131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5">
        <f t="shared" si="1"/>
        <v>-8.1360946745561158E-3</v>
      </c>
    </row>
    <row r="56" spans="2:31" x14ac:dyDescent="0.25">
      <c r="B56" s="190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8">
        <f t="shared" si="11"/>
        <v>-9.5444676167551392E-3</v>
      </c>
      <c r="I56" s="40"/>
      <c r="O56" s="82">
        <v>0.95</v>
      </c>
      <c r="P56" s="82">
        <f t="shared" si="8"/>
        <v>96.4345</v>
      </c>
      <c r="T56" s="92" t="s">
        <v>110</v>
      </c>
      <c r="U56" s="87">
        <v>20.399999999999999</v>
      </c>
      <c r="W56" s="131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5">
        <f t="shared" si="1"/>
        <v>1.7597480781699204E-3</v>
      </c>
    </row>
    <row r="57" spans="2:31" x14ac:dyDescent="0.25">
      <c r="B57" s="190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8">
        <f t="shared" si="11"/>
        <v>-1.1259170983789502E-2</v>
      </c>
      <c r="I57" s="40"/>
      <c r="O57" s="82">
        <v>0.94</v>
      </c>
      <c r="P57" s="82">
        <f t="shared" si="8"/>
        <v>95.419399999999996</v>
      </c>
      <c r="T57" s="92" t="s">
        <v>111</v>
      </c>
      <c r="U57" s="87">
        <v>5.54</v>
      </c>
      <c r="W57" s="131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5">
        <f t="shared" si="1"/>
        <v>-8.3287062742920526E-4</v>
      </c>
    </row>
    <row r="58" spans="2:31" x14ac:dyDescent="0.25">
      <c r="B58" s="190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8">
        <f t="shared" si="11"/>
        <v>1.0652594667701508E-3</v>
      </c>
      <c r="I58" s="40"/>
      <c r="O58" s="82">
        <v>0.93</v>
      </c>
      <c r="P58" s="82">
        <f t="shared" si="8"/>
        <v>94.404300000000006</v>
      </c>
      <c r="T58" s="92" t="s">
        <v>108</v>
      </c>
      <c r="U58" s="87" t="s">
        <v>574</v>
      </c>
      <c r="W58" s="131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5">
        <f t="shared" si="1"/>
        <v>4.9288570631451645E-3</v>
      </c>
    </row>
    <row r="59" spans="2:31" x14ac:dyDescent="0.25">
      <c r="B59" s="190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8">
        <f t="shared" si="11"/>
        <v>-1.4474239796979123E-2</v>
      </c>
      <c r="I59" s="40"/>
      <c r="O59" s="82">
        <v>0.92</v>
      </c>
      <c r="P59" s="82">
        <f t="shared" si="8"/>
        <v>93.389200000000002</v>
      </c>
      <c r="W59" s="131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5">
        <f t="shared" si="1"/>
        <v>-1.74524853801169E-2</v>
      </c>
    </row>
    <row r="60" spans="2:31" x14ac:dyDescent="0.25">
      <c r="B60" s="190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8">
        <f t="shared" si="11"/>
        <v>-1.7046294847530667E-2</v>
      </c>
      <c r="I60" s="40"/>
      <c r="O60" s="82">
        <v>0.91</v>
      </c>
      <c r="P60" s="82">
        <f t="shared" si="8"/>
        <v>92.374100000000013</v>
      </c>
      <c r="W60" s="131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5">
        <f t="shared" si="1"/>
        <v>9.7804022882450603E-3</v>
      </c>
    </row>
    <row r="61" spans="2:31" x14ac:dyDescent="0.25">
      <c r="B61" s="190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8">
        <f t="shared" si="11"/>
        <v>-1.1902184746427426E-2</v>
      </c>
      <c r="I61" s="40"/>
      <c r="O61" s="82">
        <v>0.9</v>
      </c>
      <c r="P61" s="82">
        <f t="shared" si="8"/>
        <v>91.359000000000009</v>
      </c>
      <c r="W61" s="131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5">
        <f t="shared" si="1"/>
        <v>1.8456995201177051E-4</v>
      </c>
    </row>
    <row r="62" spans="2:31" x14ac:dyDescent="0.25">
      <c r="B62" s="190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8">
        <f t="shared" si="11"/>
        <v>-4.8290333574105664E-3</v>
      </c>
      <c r="I62" s="40"/>
      <c r="W62" s="131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5">
        <f t="shared" si="1"/>
        <v>-5.6891172692237202E-3</v>
      </c>
    </row>
    <row r="63" spans="2:31" x14ac:dyDescent="0.25">
      <c r="B63" s="190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8">
        <f t="shared" si="11"/>
        <v>-8.7942848936776626E-3</v>
      </c>
      <c r="I63" s="40"/>
      <c r="W63" s="131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5">
        <f t="shared" si="1"/>
        <v>1.4900353883404716E-2</v>
      </c>
    </row>
    <row r="64" spans="2:31" x14ac:dyDescent="0.25">
      <c r="B64" s="190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8">
        <f t="shared" si="11"/>
        <v>-3.0071610299364985E-3</v>
      </c>
      <c r="I64" s="40"/>
      <c r="W64" s="131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5">
        <f t="shared" si="1"/>
        <v>-5.5845122859277119E-4</v>
      </c>
    </row>
    <row r="65" spans="2:31" x14ac:dyDescent="0.25">
      <c r="B65" s="190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8">
        <f t="shared" si="11"/>
        <v>-6.6509056848846337E-3</v>
      </c>
      <c r="I65" s="40"/>
      <c r="W65" s="131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5">
        <f t="shared" si="1"/>
        <v>1.2820512820512775E-2</v>
      </c>
    </row>
    <row r="66" spans="2:31" x14ac:dyDescent="0.25">
      <c r="B66" s="190">
        <v>42701</v>
      </c>
      <c r="C66" s="10">
        <v>0</v>
      </c>
      <c r="D66" s="40"/>
      <c r="E66" s="40"/>
      <c r="F66" s="40">
        <v>257.31</v>
      </c>
      <c r="G66" s="40"/>
      <c r="H66" s="228"/>
      <c r="I66" s="40"/>
      <c r="W66" s="131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5">
        <f t="shared" si="1"/>
        <v>1.7846862406447839E-2</v>
      </c>
    </row>
    <row r="67" spans="2:31" x14ac:dyDescent="0.25">
      <c r="B67" s="190"/>
      <c r="C67" s="10"/>
      <c r="D67" s="40"/>
      <c r="E67" s="40"/>
      <c r="F67" s="40"/>
      <c r="G67" s="40"/>
      <c r="H67" s="228"/>
      <c r="I67" s="40"/>
      <c r="W67" s="131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5" t="e">
        <f>AC67/#REF!-1</f>
        <v>#REF!</v>
      </c>
    </row>
    <row r="68" spans="2:31" x14ac:dyDescent="0.25">
      <c r="B68" s="190"/>
      <c r="C68" s="10"/>
      <c r="D68" s="40"/>
      <c r="E68" s="40"/>
      <c r="F68" s="40"/>
      <c r="G68" s="40"/>
      <c r="H68" s="228"/>
      <c r="I68" s="40"/>
      <c r="W68" s="131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5" t="e">
        <f>#REF!/AC68-1</f>
        <v>#REF!</v>
      </c>
    </row>
    <row r="69" spans="2:31" x14ac:dyDescent="0.25">
      <c r="B69" s="190"/>
      <c r="C69" s="10"/>
      <c r="D69" s="40"/>
      <c r="E69" s="40"/>
      <c r="F69" s="40"/>
      <c r="G69" s="40"/>
      <c r="H69" s="228"/>
      <c r="I69" s="40"/>
      <c r="AD69" s="2">
        <f>Y68-Z68</f>
        <v>0</v>
      </c>
      <c r="AE69" s="135" t="e">
        <f>AC68/AC69-1</f>
        <v>#DIV/0!</v>
      </c>
    </row>
    <row r="70" spans="2:31" x14ac:dyDescent="0.25">
      <c r="B70" s="190"/>
      <c r="C70" s="10"/>
      <c r="D70" s="40"/>
      <c r="E70" s="40"/>
      <c r="F70" s="40"/>
      <c r="G70" s="40"/>
      <c r="H70" s="228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0" t="s">
        <v>1</v>
      </c>
      <c r="B82" s="550" t="s">
        <v>2</v>
      </c>
      <c r="C82" s="550" t="s">
        <v>4</v>
      </c>
      <c r="D82" s="551" t="s">
        <v>5</v>
      </c>
      <c r="E82" s="551" t="s">
        <v>94</v>
      </c>
      <c r="F82" s="551" t="s">
        <v>60</v>
      </c>
      <c r="G82" s="550" t="s">
        <v>3</v>
      </c>
      <c r="H82" s="550" t="s">
        <v>6</v>
      </c>
      <c r="I82" s="551" t="s">
        <v>7</v>
      </c>
      <c r="J82" s="551" t="s">
        <v>95</v>
      </c>
      <c r="K82" s="551" t="s">
        <v>61</v>
      </c>
      <c r="L82" s="550" t="s">
        <v>37</v>
      </c>
      <c r="M82" s="550" t="s">
        <v>38</v>
      </c>
    </row>
    <row r="83" spans="1:13" x14ac:dyDescent="0.25">
      <c r="A83" s="552" t="s">
        <v>63</v>
      </c>
      <c r="B83" s="548">
        <v>42226</v>
      </c>
      <c r="C83" s="553">
        <v>10</v>
      </c>
      <c r="D83" s="554">
        <v>113.72</v>
      </c>
      <c r="E83" s="554">
        <v>0</v>
      </c>
      <c r="F83" s="554">
        <f t="shared" ref="F83:F92" si="12">C83*D83</f>
        <v>1137.2</v>
      </c>
      <c r="G83" s="548">
        <v>42304</v>
      </c>
      <c r="H83" s="555">
        <v>30</v>
      </c>
      <c r="I83" s="554">
        <v>111.35</v>
      </c>
      <c r="J83" s="554">
        <v>0.06</v>
      </c>
      <c r="K83" s="554">
        <f t="shared" ref="K83:K88" si="13">I83*H83-J83</f>
        <v>3340.44</v>
      </c>
      <c r="L83" s="548">
        <v>42580</v>
      </c>
      <c r="M83" s="554">
        <v>10.65</v>
      </c>
    </row>
    <row r="84" spans="1:13" x14ac:dyDescent="0.25">
      <c r="A84" s="556" t="s">
        <v>71</v>
      </c>
      <c r="B84" s="548">
        <v>42226</v>
      </c>
      <c r="C84" s="553">
        <v>5</v>
      </c>
      <c r="D84" s="554">
        <v>112.2</v>
      </c>
      <c r="E84" s="554">
        <v>0</v>
      </c>
      <c r="F84" s="554">
        <f t="shared" si="12"/>
        <v>561</v>
      </c>
      <c r="G84" s="548">
        <v>42416</v>
      </c>
      <c r="H84" s="555">
        <v>15</v>
      </c>
      <c r="I84" s="554">
        <v>92.85</v>
      </c>
      <c r="J84" s="554">
        <v>0.03</v>
      </c>
      <c r="K84" s="554">
        <f t="shared" si="13"/>
        <v>1392.72</v>
      </c>
      <c r="L84" s="553"/>
      <c r="M84" s="553"/>
    </row>
    <row r="85" spans="1:13" x14ac:dyDescent="0.25">
      <c r="A85" s="553"/>
      <c r="B85" s="548">
        <v>42226</v>
      </c>
      <c r="C85" s="553">
        <v>5</v>
      </c>
      <c r="D85" s="554">
        <v>110.93</v>
      </c>
      <c r="E85" s="554">
        <v>0</v>
      </c>
      <c r="F85" s="554">
        <f t="shared" si="12"/>
        <v>554.65000000000009</v>
      </c>
      <c r="G85" s="548">
        <v>42482</v>
      </c>
      <c r="H85" s="555">
        <v>10</v>
      </c>
      <c r="I85" s="554">
        <v>103.71</v>
      </c>
      <c r="J85" s="554">
        <v>0.02</v>
      </c>
      <c r="K85" s="554">
        <f t="shared" si="13"/>
        <v>1037.08</v>
      </c>
      <c r="L85" s="553"/>
      <c r="M85" s="553"/>
    </row>
    <row r="86" spans="1:13" x14ac:dyDescent="0.25">
      <c r="A86" s="553"/>
      <c r="B86" s="548">
        <v>42227</v>
      </c>
      <c r="C86" s="553">
        <v>10</v>
      </c>
      <c r="D86" s="554">
        <v>105</v>
      </c>
      <c r="E86" s="554">
        <v>0</v>
      </c>
      <c r="F86" s="554">
        <f t="shared" si="12"/>
        <v>1050</v>
      </c>
      <c r="G86" s="548">
        <v>42592</v>
      </c>
      <c r="H86" s="555">
        <v>15</v>
      </c>
      <c r="I86" s="554">
        <v>97.88</v>
      </c>
      <c r="J86" s="554">
        <v>0.03</v>
      </c>
      <c r="K86" s="554">
        <f t="shared" si="13"/>
        <v>1468.1699999999998</v>
      </c>
      <c r="L86" s="553"/>
      <c r="M86" s="553"/>
    </row>
    <row r="87" spans="1:13" x14ac:dyDescent="0.25">
      <c r="A87" s="553"/>
      <c r="B87" s="548">
        <v>42374</v>
      </c>
      <c r="C87" s="553">
        <v>25</v>
      </c>
      <c r="D87" s="554">
        <v>100.9</v>
      </c>
      <c r="E87" s="554">
        <v>0</v>
      </c>
      <c r="F87" s="554">
        <f t="shared" si="12"/>
        <v>2522.5</v>
      </c>
      <c r="G87" s="548">
        <v>42684</v>
      </c>
      <c r="H87" s="555">
        <v>50</v>
      </c>
      <c r="I87" s="554">
        <v>97.5</v>
      </c>
      <c r="J87" s="554">
        <v>0.11</v>
      </c>
      <c r="K87" s="554">
        <f t="shared" si="13"/>
        <v>4874.8900000000003</v>
      </c>
      <c r="L87" s="553"/>
      <c r="M87" s="553"/>
    </row>
    <row r="88" spans="1:13" x14ac:dyDescent="0.25">
      <c r="A88" s="553"/>
      <c r="B88" s="548">
        <v>42409</v>
      </c>
      <c r="C88" s="553">
        <v>15</v>
      </c>
      <c r="D88" s="554">
        <v>88.5</v>
      </c>
      <c r="E88" s="554">
        <v>0</v>
      </c>
      <c r="F88" s="554">
        <f t="shared" si="12"/>
        <v>1327.5</v>
      </c>
      <c r="G88" s="548">
        <v>42684</v>
      </c>
      <c r="H88" s="555">
        <v>20</v>
      </c>
      <c r="I88" s="554">
        <v>95.71</v>
      </c>
      <c r="J88" s="554">
        <v>0.04</v>
      </c>
      <c r="K88" s="554">
        <f t="shared" si="13"/>
        <v>1914.1599999999999</v>
      </c>
      <c r="L88" s="553"/>
      <c r="M88" s="553"/>
    </row>
    <row r="89" spans="1:13" x14ac:dyDescent="0.25">
      <c r="A89" s="553"/>
      <c r="B89" s="548">
        <v>42586</v>
      </c>
      <c r="C89" s="553">
        <v>15</v>
      </c>
      <c r="D89" s="554">
        <v>94.88</v>
      </c>
      <c r="E89" s="554">
        <v>0</v>
      </c>
      <c r="F89" s="554">
        <f t="shared" si="12"/>
        <v>1423.1999999999998</v>
      </c>
      <c r="G89" s="553"/>
      <c r="H89" s="555"/>
      <c r="I89" s="554"/>
      <c r="J89" s="554"/>
      <c r="K89" s="554"/>
      <c r="L89" s="553"/>
      <c r="M89" s="553"/>
    </row>
    <row r="90" spans="1:13" x14ac:dyDescent="0.25">
      <c r="A90" s="553"/>
      <c r="B90" s="548">
        <v>42594</v>
      </c>
      <c r="C90" s="553">
        <v>15</v>
      </c>
      <c r="D90" s="554">
        <v>96.85</v>
      </c>
      <c r="E90" s="554">
        <v>0</v>
      </c>
      <c r="F90" s="554">
        <f t="shared" si="12"/>
        <v>1452.75</v>
      </c>
      <c r="G90" s="553"/>
      <c r="H90" s="555"/>
      <c r="I90" s="554"/>
      <c r="J90" s="554"/>
      <c r="K90" s="554"/>
      <c r="L90" s="553"/>
      <c r="M90" s="553"/>
    </row>
    <row r="91" spans="1:13" x14ac:dyDescent="0.25">
      <c r="A91" s="553"/>
      <c r="B91" s="548">
        <v>42611</v>
      </c>
      <c r="C91" s="553">
        <v>25</v>
      </c>
      <c r="D91" s="554">
        <v>94.58</v>
      </c>
      <c r="E91" s="554">
        <v>0</v>
      </c>
      <c r="F91" s="554">
        <f t="shared" si="12"/>
        <v>2364.5</v>
      </c>
      <c r="G91" s="553"/>
      <c r="H91" s="553"/>
      <c r="I91" s="554"/>
      <c r="J91" s="554"/>
      <c r="K91" s="554"/>
      <c r="L91" s="553"/>
      <c r="M91" s="553"/>
    </row>
    <row r="92" spans="1:13" x14ac:dyDescent="0.25">
      <c r="A92" s="553"/>
      <c r="B92" s="548">
        <v>42622</v>
      </c>
      <c r="C92" s="553">
        <v>15</v>
      </c>
      <c r="D92" s="554">
        <v>92.5</v>
      </c>
      <c r="E92" s="554">
        <v>0</v>
      </c>
      <c r="F92" s="554">
        <f t="shared" si="12"/>
        <v>1387.5</v>
      </c>
      <c r="G92" s="553"/>
      <c r="H92" s="553"/>
      <c r="I92" s="554"/>
      <c r="J92" s="554"/>
      <c r="K92" s="554"/>
      <c r="L92" s="553"/>
      <c r="M92" s="553"/>
    </row>
    <row r="93" spans="1:13" x14ac:dyDescent="0.25">
      <c r="A93" s="553"/>
      <c r="B93" s="553"/>
      <c r="C93" s="553"/>
      <c r="D93" s="554"/>
      <c r="E93" s="554"/>
      <c r="F93" s="554"/>
      <c r="G93" s="553"/>
      <c r="H93" s="553"/>
      <c r="I93" s="554"/>
      <c r="J93" s="554"/>
      <c r="K93" s="554"/>
      <c r="L93" s="553"/>
      <c r="M93" s="553"/>
    </row>
    <row r="94" spans="1:13" x14ac:dyDescent="0.25">
      <c r="A94" s="553"/>
      <c r="B94" s="553"/>
      <c r="C94" s="553"/>
      <c r="D94" s="554"/>
      <c r="E94" s="554"/>
      <c r="F94" s="554"/>
      <c r="G94" s="553"/>
      <c r="H94" s="553"/>
      <c r="I94" s="554"/>
      <c r="J94" s="554"/>
      <c r="K94" s="554"/>
      <c r="L94" s="553"/>
      <c r="M94" s="553"/>
    </row>
    <row r="95" spans="1:13" x14ac:dyDescent="0.25">
      <c r="A95" s="553"/>
      <c r="B95" s="553"/>
      <c r="C95" s="553"/>
      <c r="D95" s="554"/>
      <c r="E95" s="554"/>
      <c r="F95" s="554"/>
      <c r="G95" s="553"/>
      <c r="H95" s="553"/>
      <c r="I95" s="554"/>
      <c r="J95" s="554"/>
      <c r="K95" s="554"/>
      <c r="L95" s="553"/>
      <c r="M95" s="553"/>
    </row>
    <row r="96" spans="1:13" x14ac:dyDescent="0.25">
      <c r="A96" s="553"/>
      <c r="B96" s="553"/>
      <c r="C96" s="553"/>
      <c r="D96" s="554"/>
      <c r="E96" s="554"/>
      <c r="F96" s="554"/>
      <c r="G96" s="553"/>
      <c r="H96" s="553"/>
      <c r="I96" s="554"/>
      <c r="J96" s="554"/>
      <c r="K96" s="554"/>
      <c r="L96" s="553"/>
      <c r="M96" s="553"/>
    </row>
    <row r="97" spans="1:13" x14ac:dyDescent="0.25">
      <c r="A97" s="553"/>
      <c r="B97" s="553"/>
      <c r="C97" s="553"/>
      <c r="D97" s="554"/>
      <c r="E97" s="554"/>
      <c r="F97" s="554"/>
      <c r="G97" s="553"/>
      <c r="H97" s="553"/>
      <c r="I97" s="554"/>
      <c r="J97" s="554"/>
      <c r="K97" s="554"/>
      <c r="L97" s="553"/>
      <c r="M97" s="553"/>
    </row>
    <row r="98" spans="1:13" x14ac:dyDescent="0.25">
      <c r="A98" s="553"/>
      <c r="B98" s="553"/>
      <c r="C98" s="553"/>
      <c r="D98" s="554"/>
      <c r="E98" s="554"/>
      <c r="F98" s="554"/>
      <c r="G98" s="553"/>
      <c r="H98" s="553"/>
      <c r="I98" s="554"/>
      <c r="J98" s="554"/>
      <c r="K98" s="554"/>
      <c r="L98" s="553"/>
      <c r="M98" s="553"/>
    </row>
    <row r="99" spans="1:13" x14ac:dyDescent="0.25">
      <c r="A99" s="557" t="s">
        <v>81</v>
      </c>
      <c r="B99" s="558"/>
      <c r="C99" s="558">
        <f>SUM(C83:C92)</f>
        <v>140</v>
      </c>
      <c r="D99" s="559"/>
      <c r="E99" s="559"/>
      <c r="F99" s="559">
        <f>SUM(F83:F92)</f>
        <v>13780.8</v>
      </c>
      <c r="G99" s="558"/>
      <c r="H99" s="560">
        <f>SUM(H83:H88)</f>
        <v>140</v>
      </c>
      <c r="I99" s="559"/>
      <c r="J99" s="559"/>
      <c r="K99" s="559">
        <f>SUM(K83:K88)</f>
        <v>14027.46</v>
      </c>
      <c r="L99" s="558"/>
      <c r="M99" s="559">
        <f>SUM(M83:M86)</f>
        <v>10.65</v>
      </c>
    </row>
    <row r="100" spans="1:13" ht="15.75" thickBot="1" x14ac:dyDescent="0.3">
      <c r="A100" s="561" t="s">
        <v>195</v>
      </c>
      <c r="B100" s="562"/>
      <c r="C100" s="563">
        <f>SumByColor($A$19,C83:C98)</f>
        <v>0</v>
      </c>
      <c r="D100" s="563"/>
      <c r="E100" s="563"/>
      <c r="F100" s="564">
        <f>SumByColor($A$19,F83:F98)</f>
        <v>0</v>
      </c>
      <c r="G100" s="563"/>
      <c r="H100" s="563">
        <f>SumByColor($A$19,H83:H98)</f>
        <v>0</v>
      </c>
      <c r="I100" s="563"/>
      <c r="J100" s="563"/>
      <c r="K100" s="564">
        <f>SumByColor($A$19,K83:K98)</f>
        <v>0</v>
      </c>
      <c r="L100" s="563"/>
      <c r="M100" s="564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</row>
    <row r="2" spans="1:21" x14ac:dyDescent="0.25">
      <c r="A2" s="6" t="s">
        <v>9</v>
      </c>
      <c r="B2" s="498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8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266</v>
      </c>
      <c r="T2" s="1" t="s">
        <v>752</v>
      </c>
      <c r="U2" s="85">
        <v>15</v>
      </c>
    </row>
    <row r="3" spans="1:21" x14ac:dyDescent="0.25">
      <c r="A3" s="23" t="s">
        <v>71</v>
      </c>
      <c r="B3" s="498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8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8">
        <f>IF(Q2=0, Q4, (F23-M23-K23)/Q2)</f>
        <v>38.98240601503759</v>
      </c>
      <c r="T3" s="1"/>
    </row>
    <row r="4" spans="1:21" x14ac:dyDescent="0.25">
      <c r="B4" s="498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8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8">
        <v>14.34</v>
      </c>
      <c r="R4" s="497">
        <v>-6.0900000000000003E-2</v>
      </c>
      <c r="T4" s="160"/>
    </row>
    <row r="5" spans="1:21" x14ac:dyDescent="0.25">
      <c r="B5" s="498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8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3814.44</v>
      </c>
    </row>
    <row r="6" spans="1:21" x14ac:dyDescent="0.25">
      <c r="B6" s="498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8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8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8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179</v>
      </c>
      <c r="Q7" s="2">
        <f>Q10+Q8</f>
        <v>-6119.9499999999989</v>
      </c>
      <c r="R7" s="30">
        <v>42993</v>
      </c>
    </row>
    <row r="8" spans="1:21" x14ac:dyDescent="0.25">
      <c r="B8" s="498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8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181</v>
      </c>
      <c r="P8" s="34"/>
      <c r="Q8" s="2">
        <f>K23+M23-F23+Q2*Q4</f>
        <v>-6554.8799999999992</v>
      </c>
    </row>
    <row r="9" spans="1:21" x14ac:dyDescent="0.25">
      <c r="B9" s="498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8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211</v>
      </c>
      <c r="Q9" s="135">
        <f>IF(Q2=0, 0, Q8/Q6)</f>
        <v>-0.63214174121350286</v>
      </c>
    </row>
    <row r="10" spans="1:21" x14ac:dyDescent="0.25">
      <c r="B10" s="498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8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210</v>
      </c>
      <c r="P10" s="34"/>
      <c r="Q10" s="2">
        <f>M96</f>
        <v>434.93000000000029</v>
      </c>
    </row>
    <row r="11" spans="1:21" x14ac:dyDescent="0.25">
      <c r="B11" s="498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8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176</v>
      </c>
      <c r="P11" s="34"/>
      <c r="Q11" s="135">
        <f>VALUE(TRIM(CLEAN(MID(U58, FIND("(", U58)+1, 6))))</f>
        <v>0.1963</v>
      </c>
    </row>
    <row r="12" spans="1:21" x14ac:dyDescent="0.25">
      <c r="B12" s="498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8">
        <v>42874</v>
      </c>
      <c r="H12" s="182">
        <v>2000</v>
      </c>
      <c r="I12" s="79">
        <v>1.4550000000000001</v>
      </c>
      <c r="J12" s="2">
        <v>0.06</v>
      </c>
      <c r="K12" s="2">
        <f t="shared" si="1"/>
        <v>2909.94</v>
      </c>
    </row>
    <row r="13" spans="1:21" x14ac:dyDescent="0.25">
      <c r="B13" s="452">
        <v>42793</v>
      </c>
      <c r="C13" s="7">
        <v>100</v>
      </c>
      <c r="D13" s="44">
        <v>3.18</v>
      </c>
      <c r="E13" s="44">
        <v>0</v>
      </c>
      <c r="F13" s="44">
        <f t="shared" ref="F13:F20" si="2">C13*D13+E13</f>
        <v>318</v>
      </c>
      <c r="G13" s="30">
        <v>42943</v>
      </c>
      <c r="H13" s="182">
        <f>15*100</f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</row>
    <row r="14" spans="1:2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30"/>
      <c r="I14" s="79"/>
    </row>
    <row r="15" spans="1:21" x14ac:dyDescent="0.25">
      <c r="B15" s="452">
        <v>42808</v>
      </c>
      <c r="C15" s="7">
        <v>1000</v>
      </c>
      <c r="D15" s="44">
        <v>2.41</v>
      </c>
      <c r="E15" s="44">
        <v>0</v>
      </c>
      <c r="F15" s="44">
        <f t="shared" si="2"/>
        <v>2410</v>
      </c>
      <c r="G15" s="30"/>
      <c r="I15" s="79"/>
    </row>
    <row r="16" spans="1:21" x14ac:dyDescent="0.25">
      <c r="B16" s="452">
        <v>42809</v>
      </c>
      <c r="C16" s="7">
        <v>1000</v>
      </c>
      <c r="D16" s="44">
        <v>2.33</v>
      </c>
      <c r="E16" s="44">
        <v>0</v>
      </c>
      <c r="F16" s="44">
        <f t="shared" si="2"/>
        <v>2330</v>
      </c>
    </row>
    <row r="17" spans="1:13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2"/>
        <v>2740</v>
      </c>
    </row>
    <row r="20" spans="1:13" x14ac:dyDescent="0.25">
      <c r="B20" s="496">
        <v>42962</v>
      </c>
      <c r="C20">
        <f>15*100</f>
        <v>1500</v>
      </c>
      <c r="D20" s="2">
        <f>14.37/15</f>
        <v>0.95799999999999996</v>
      </c>
      <c r="E20" s="2">
        <v>-3</v>
      </c>
      <c r="F20" s="2">
        <f t="shared" si="2"/>
        <v>1434</v>
      </c>
    </row>
    <row r="21" spans="1:13" x14ac:dyDescent="0.25">
      <c r="G21" s="30"/>
      <c r="I21" s="79"/>
    </row>
    <row r="22" spans="1:13" x14ac:dyDescent="0.25">
      <c r="G22" s="30"/>
      <c r="H22" s="71"/>
      <c r="I22" s="79"/>
    </row>
    <row r="23" spans="1:13" x14ac:dyDescent="0.25">
      <c r="A23" s="32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1" t="s">
        <v>195</v>
      </c>
      <c r="B24" s="352"/>
      <c r="C24" s="353">
        <f>SumByColor($A$24,C2:C22)</f>
        <v>4800</v>
      </c>
      <c r="D24" s="353"/>
      <c r="E24" s="353"/>
      <c r="F24" s="354">
        <f>SumByColor($A$24,F2:F22)</f>
        <v>15371</v>
      </c>
      <c r="G24" s="353"/>
      <c r="H24" s="353">
        <f>SumByColor($A$24,H2:H22)</f>
        <v>4800</v>
      </c>
      <c r="I24" s="353"/>
      <c r="J24" s="353"/>
      <c r="K24" s="354">
        <f>SumByColor($A$24,K2:K22)</f>
        <v>15960</v>
      </c>
      <c r="L24" s="353"/>
      <c r="M24" s="578">
        <f>SumByColor($A$24,M2:M22)</f>
        <v>486</v>
      </c>
    </row>
    <row r="28" spans="1:13" x14ac:dyDescent="0.25">
      <c r="B28" s="190"/>
      <c r="C28" s="10"/>
      <c r="D28" s="199"/>
      <c r="E28" s="40"/>
      <c r="F28" s="233"/>
      <c r="G28" s="40"/>
      <c r="H28" s="229"/>
      <c r="I28" s="40"/>
      <c r="J28" s="40"/>
      <c r="K28" s="40"/>
    </row>
    <row r="29" spans="1:13" x14ac:dyDescent="0.25">
      <c r="B29" s="188" t="s">
        <v>113</v>
      </c>
      <c r="C29" s="188" t="s">
        <v>146</v>
      </c>
      <c r="D29" s="189" t="s">
        <v>145</v>
      </c>
      <c r="E29" s="191" t="s">
        <v>147</v>
      </c>
      <c r="F29" s="192" t="s">
        <v>65</v>
      </c>
      <c r="G29" s="226" t="s">
        <v>151</v>
      </c>
      <c r="H29" s="192" t="s">
        <v>88</v>
      </c>
      <c r="I29" s="226" t="s">
        <v>154</v>
      </c>
      <c r="J29" s="226" t="s">
        <v>530</v>
      </c>
      <c r="K29" s="226" t="s">
        <v>150</v>
      </c>
    </row>
    <row r="30" spans="1:13" x14ac:dyDescent="0.25">
      <c r="B30" s="190">
        <v>42629</v>
      </c>
      <c r="C30" s="234">
        <v>400</v>
      </c>
      <c r="D30" s="533">
        <v>4.28</v>
      </c>
      <c r="E30" s="40">
        <v>4.28</v>
      </c>
      <c r="F30" s="40">
        <f t="shared" ref="F30:F36" si="3">C30*(E30-D30)</f>
        <v>0</v>
      </c>
      <c r="G30" s="40">
        <f t="shared" ref="G30:G36" si="4">D30*C30</f>
        <v>1712</v>
      </c>
      <c r="H30" s="229">
        <f t="shared" ref="H30:H36" si="5">(E30-D30)/D30</f>
        <v>0</v>
      </c>
      <c r="I30" s="40"/>
      <c r="J30" s="40"/>
      <c r="K30" s="40"/>
    </row>
    <row r="31" spans="1:13" x14ac:dyDescent="0.25">
      <c r="B31" s="190">
        <v>42632</v>
      </c>
      <c r="C31" s="10">
        <v>400</v>
      </c>
      <c r="D31" s="199">
        <v>4.28</v>
      </c>
      <c r="E31" s="40">
        <v>4.3</v>
      </c>
      <c r="F31" s="40">
        <f t="shared" si="3"/>
        <v>7.9999999999998295</v>
      </c>
      <c r="G31" s="40">
        <f t="shared" si="4"/>
        <v>1712</v>
      </c>
      <c r="H31" s="229">
        <f t="shared" si="5"/>
        <v>4.6728971962615821E-3</v>
      </c>
      <c r="I31" s="40"/>
      <c r="J31" s="40"/>
      <c r="K31" s="40"/>
    </row>
    <row r="32" spans="1:13" x14ac:dyDescent="0.25">
      <c r="B32" s="190">
        <v>42633</v>
      </c>
      <c r="C32" s="10">
        <v>400</v>
      </c>
      <c r="D32" s="199">
        <v>4.28</v>
      </c>
      <c r="E32" s="40">
        <v>4.21</v>
      </c>
      <c r="F32" s="40">
        <f t="shared" si="3"/>
        <v>-28.000000000000114</v>
      </c>
      <c r="G32" s="40">
        <f t="shared" si="4"/>
        <v>1712</v>
      </c>
      <c r="H32" s="229">
        <f t="shared" si="5"/>
        <v>-1.6355140186915952E-2</v>
      </c>
      <c r="I32" s="40"/>
      <c r="J32" s="40"/>
      <c r="K32" s="40"/>
    </row>
    <row r="33" spans="2:21" x14ac:dyDescent="0.25">
      <c r="B33" s="190">
        <v>42634</v>
      </c>
      <c r="C33" s="7">
        <v>800</v>
      </c>
      <c r="D33" s="532">
        <v>4.18</v>
      </c>
      <c r="E33" s="40">
        <v>4.13</v>
      </c>
      <c r="F33" s="40">
        <f t="shared" si="3"/>
        <v>-39.999999999999858</v>
      </c>
      <c r="G33" s="40">
        <f t="shared" si="4"/>
        <v>3344</v>
      </c>
      <c r="H33" s="229">
        <f t="shared" si="5"/>
        <v>-1.1961722488038236E-2</v>
      </c>
      <c r="I33" s="40"/>
      <c r="J33" s="40"/>
      <c r="K33" s="40"/>
    </row>
    <row r="34" spans="2:21" x14ac:dyDescent="0.25">
      <c r="B34" s="190">
        <v>42635</v>
      </c>
      <c r="C34" s="10">
        <v>400</v>
      </c>
      <c r="D34" s="199">
        <v>4.1600999999999999</v>
      </c>
      <c r="E34" s="40">
        <v>4.33</v>
      </c>
      <c r="F34" s="233">
        <f t="shared" si="3"/>
        <v>67.960000000000065</v>
      </c>
      <c r="G34" s="40">
        <f t="shared" si="4"/>
        <v>1664.04</v>
      </c>
      <c r="H34" s="229">
        <f t="shared" si="5"/>
        <v>4.0840364414317001E-2</v>
      </c>
      <c r="I34" s="40"/>
      <c r="J34" s="40"/>
      <c r="K34" s="40"/>
    </row>
    <row r="35" spans="2:21" x14ac:dyDescent="0.25">
      <c r="B35" s="190">
        <v>42643</v>
      </c>
      <c r="C35" s="10">
        <v>400</v>
      </c>
      <c r="D35" s="199">
        <v>4.1600999999999999</v>
      </c>
      <c r="E35" s="40">
        <v>4.16</v>
      </c>
      <c r="F35" s="233">
        <f t="shared" si="3"/>
        <v>-3.9999999999906777E-2</v>
      </c>
      <c r="G35" s="40">
        <f t="shared" si="4"/>
        <v>1664.04</v>
      </c>
      <c r="H35" s="229">
        <f t="shared" si="5"/>
        <v>-2.4037883704662615E-5</v>
      </c>
      <c r="I35" s="40"/>
      <c r="J35" s="40"/>
      <c r="K35" s="40"/>
    </row>
    <row r="36" spans="2:21" x14ac:dyDescent="0.25">
      <c r="B36" s="190">
        <v>42648</v>
      </c>
      <c r="C36" s="7">
        <v>800</v>
      </c>
      <c r="D36" s="532">
        <v>4.0900499999999997</v>
      </c>
      <c r="E36" s="40">
        <v>4.03</v>
      </c>
      <c r="F36" s="233">
        <f t="shared" si="3"/>
        <v>-48.039999999999594</v>
      </c>
      <c r="G36" s="40">
        <f t="shared" si="4"/>
        <v>3272.04</v>
      </c>
      <c r="H36" s="229">
        <f t="shared" si="5"/>
        <v>-1.4681972103030402E-2</v>
      </c>
      <c r="I36" s="532">
        <v>4</v>
      </c>
      <c r="J36" s="40"/>
      <c r="K36" s="40"/>
    </row>
    <row r="37" spans="2:21" x14ac:dyDescent="0.25">
      <c r="B37" s="190">
        <v>42649</v>
      </c>
      <c r="C37" s="10">
        <v>800</v>
      </c>
      <c r="D37" s="199">
        <v>4.0900499999999997</v>
      </c>
      <c r="E37" s="40">
        <v>3.99</v>
      </c>
      <c r="F37" s="233">
        <f>C37*(E37-D37)</f>
        <v>-80.039999999999623</v>
      </c>
      <c r="G37" s="40">
        <f>D37*C37</f>
        <v>3272.04</v>
      </c>
      <c r="H37" s="229">
        <f>(E37-D37)/D37</f>
        <v>-2.4461803645432094E-2</v>
      </c>
      <c r="I37" s="40"/>
      <c r="J37" s="40"/>
      <c r="K37" s="40"/>
    </row>
    <row r="38" spans="2:21" x14ac:dyDescent="0.25">
      <c r="B38" s="190">
        <v>42650</v>
      </c>
      <c r="C38" s="10">
        <v>800</v>
      </c>
      <c r="D38" s="199">
        <v>4.0900499999999997</v>
      </c>
      <c r="E38" s="40">
        <v>4.2300000000000004</v>
      </c>
      <c r="F38" s="233">
        <f>C38*(E38-D38)</f>
        <v>111.96000000000055</v>
      </c>
      <c r="G38" s="40">
        <f>D38*C38</f>
        <v>3272.04</v>
      </c>
      <c r="H38" s="229">
        <f>(E38-D38)/D38</f>
        <v>3.4217185608978053E-2</v>
      </c>
      <c r="I38" s="199" t="s">
        <v>303</v>
      </c>
      <c r="J38" s="40"/>
      <c r="K38" s="40"/>
    </row>
    <row r="39" spans="2:21" x14ac:dyDescent="0.25">
      <c r="B39" s="190">
        <v>42661</v>
      </c>
      <c r="C39" s="10">
        <v>800</v>
      </c>
      <c r="D39" s="199">
        <v>4.0900499999999997</v>
      </c>
      <c r="E39" s="40">
        <v>4.08</v>
      </c>
      <c r="F39" s="233">
        <f t="shared" ref="F39:F45" si="6">C39*(E39-D39)</f>
        <v>-8.0399999999997362</v>
      </c>
      <c r="G39" s="40">
        <f t="shared" ref="G39:G45" si="7">D39*C39</f>
        <v>3272.04</v>
      </c>
      <c r="H39" s="229">
        <f t="shared" ref="H39:H45" si="8">(E39-D39)/D39</f>
        <v>-2.4571826750283423E-3</v>
      </c>
      <c r="I39" s="40"/>
      <c r="J39" s="40"/>
      <c r="K39" s="40"/>
    </row>
    <row r="40" spans="2:21" ht="20.25" thickBot="1" x14ac:dyDescent="0.35">
      <c r="B40" s="190">
        <v>42670</v>
      </c>
      <c r="C40" s="234">
        <v>400</v>
      </c>
      <c r="D40" s="533">
        <v>3.9802</v>
      </c>
      <c r="E40" s="40">
        <v>4.17</v>
      </c>
      <c r="F40" s="233">
        <f t="shared" si="6"/>
        <v>75.919999999999987</v>
      </c>
      <c r="G40" s="40">
        <f t="shared" si="7"/>
        <v>1592.08</v>
      </c>
      <c r="H40" s="229">
        <f t="shared" si="8"/>
        <v>4.7686045927340326E-2</v>
      </c>
      <c r="I40" s="533">
        <v>3.9</v>
      </c>
      <c r="J40" s="40"/>
      <c r="K40" s="40"/>
      <c r="O40" s="716" t="s">
        <v>78</v>
      </c>
      <c r="P40" s="716"/>
    </row>
    <row r="41" spans="2:21" ht="15.75" thickTop="1" x14ac:dyDescent="0.25">
      <c r="B41" s="190">
        <v>42674</v>
      </c>
      <c r="C41" s="7">
        <v>800</v>
      </c>
      <c r="D41" s="532">
        <v>4.0000999999999998</v>
      </c>
      <c r="E41" s="40">
        <v>4.0199999999999996</v>
      </c>
      <c r="F41" s="233">
        <f t="shared" si="6"/>
        <v>15.919999999999845</v>
      </c>
      <c r="G41" s="40">
        <f t="shared" si="7"/>
        <v>3200.08</v>
      </c>
      <c r="H41" s="229">
        <f t="shared" si="8"/>
        <v>4.9748756281092496E-3</v>
      </c>
      <c r="I41" s="532" t="s">
        <v>311</v>
      </c>
      <c r="J41" s="40"/>
      <c r="K41" s="40"/>
      <c r="O41" s="82">
        <v>1.1000000000000001</v>
      </c>
      <c r="P41" s="82">
        <f>O41*$Q$4</f>
        <v>15.774000000000001</v>
      </c>
      <c r="Q41" s="2"/>
    </row>
    <row r="42" spans="2:21" ht="20.25" thickBot="1" x14ac:dyDescent="0.35">
      <c r="B42" s="190">
        <v>42676</v>
      </c>
      <c r="C42" s="10">
        <v>1100</v>
      </c>
      <c r="D42" s="199">
        <v>3.8882500000000002</v>
      </c>
      <c r="E42" s="40">
        <v>3.39</v>
      </c>
      <c r="F42" s="233">
        <f t="shared" si="6"/>
        <v>-548.07500000000005</v>
      </c>
      <c r="G42" s="40">
        <f t="shared" si="7"/>
        <v>4277.0749999999998</v>
      </c>
      <c r="H42" s="229">
        <f t="shared" si="8"/>
        <v>-0.12814248055037614</v>
      </c>
      <c r="I42" s="40"/>
      <c r="J42" s="40"/>
      <c r="K42" s="40"/>
      <c r="O42" s="82">
        <v>1.0900000000000001</v>
      </c>
      <c r="P42" s="82">
        <f t="shared" ref="P42:P61" si="9">O42*$Q$4</f>
        <v>15.630600000000001</v>
      </c>
      <c r="Q42" s="2"/>
      <c r="T42" s="90" t="s">
        <v>112</v>
      </c>
    </row>
    <row r="43" spans="2:21" ht="15.75" thickTop="1" x14ac:dyDescent="0.25">
      <c r="B43" s="190">
        <v>42678</v>
      </c>
      <c r="C43" s="579">
        <v>1500</v>
      </c>
      <c r="D43" s="580">
        <v>3.6860499999999998</v>
      </c>
      <c r="E43" s="40">
        <v>3.12</v>
      </c>
      <c r="F43" s="233">
        <f t="shared" si="6"/>
        <v>-849.07499999999959</v>
      </c>
      <c r="G43" s="40">
        <f t="shared" si="7"/>
        <v>5529.0749999999998</v>
      </c>
      <c r="H43" s="229">
        <f t="shared" si="8"/>
        <v>-0.15356546981185815</v>
      </c>
      <c r="I43" s="40"/>
      <c r="J43" s="40"/>
      <c r="K43" s="40"/>
      <c r="O43" s="82">
        <v>1.08</v>
      </c>
      <c r="P43" s="82">
        <f t="shared" si="9"/>
        <v>15.487200000000001</v>
      </c>
      <c r="Q43" s="2"/>
      <c r="T43" s="126" t="s">
        <v>97</v>
      </c>
      <c r="U43" s="97">
        <v>2.13</v>
      </c>
    </row>
    <row r="44" spans="2:21" x14ac:dyDescent="0.25">
      <c r="B44" s="190">
        <v>42701</v>
      </c>
      <c r="C44" s="10">
        <v>1100</v>
      </c>
      <c r="D44" s="199">
        <v>3.7101000000000002</v>
      </c>
      <c r="E44" s="40">
        <v>3.69</v>
      </c>
      <c r="F44" s="233">
        <f t="shared" si="6"/>
        <v>-22.110000000000252</v>
      </c>
      <c r="G44" s="40">
        <f t="shared" si="7"/>
        <v>4081.11</v>
      </c>
      <c r="H44" s="229">
        <f t="shared" si="8"/>
        <v>-5.4176437292795957E-3</v>
      </c>
      <c r="I44" s="40"/>
      <c r="J44" s="40"/>
      <c r="K44" s="40"/>
      <c r="O44" s="82">
        <v>1.07</v>
      </c>
      <c r="P44" s="82">
        <f t="shared" si="9"/>
        <v>15.3438</v>
      </c>
      <c r="Q44" s="2"/>
      <c r="T44" s="92" t="s">
        <v>98</v>
      </c>
      <c r="U44" s="87">
        <v>2.15</v>
      </c>
    </row>
    <row r="45" spans="2:21" x14ac:dyDescent="0.25">
      <c r="B45" s="190">
        <v>42702</v>
      </c>
      <c r="C45" s="10">
        <v>700</v>
      </c>
      <c r="D45" s="199">
        <v>3.6873399999999998</v>
      </c>
      <c r="E45" s="40">
        <v>3.74</v>
      </c>
      <c r="F45" s="233">
        <f t="shared" si="6"/>
        <v>36.862000000000265</v>
      </c>
      <c r="G45" s="40">
        <f t="shared" si="7"/>
        <v>2581.1379999999999</v>
      </c>
      <c r="H45" s="229">
        <f t="shared" si="8"/>
        <v>1.4281297629185369E-2</v>
      </c>
      <c r="I45" s="40"/>
      <c r="J45" s="40"/>
      <c r="K45" s="40"/>
      <c r="O45" s="82">
        <v>1.06</v>
      </c>
      <c r="P45" s="82">
        <f t="shared" si="9"/>
        <v>15.2004</v>
      </c>
      <c r="Q45" s="2"/>
      <c r="T45" s="92" t="s">
        <v>99</v>
      </c>
      <c r="U45" s="87" t="s">
        <v>713</v>
      </c>
    </row>
    <row r="46" spans="2:21" x14ac:dyDescent="0.25">
      <c r="B46" s="190">
        <v>42705</v>
      </c>
      <c r="C46" s="10">
        <v>700</v>
      </c>
      <c r="D46" s="199">
        <v>3.6873399999999998</v>
      </c>
      <c r="E46" s="40">
        <v>3.51</v>
      </c>
      <c r="F46" s="233">
        <f t="shared" ref="F46:F59" si="10">C46*(E46-D46)</f>
        <v>-124.13800000000003</v>
      </c>
      <c r="G46" s="40">
        <f t="shared" ref="G46:G59" si="11">D46*C46</f>
        <v>2581.1379999999999</v>
      </c>
      <c r="H46" s="229">
        <f t="shared" ref="H46:H59" si="12">(E46-D46)/D46</f>
        <v>-4.809429019293042E-2</v>
      </c>
      <c r="I46" s="40"/>
      <c r="J46" s="40"/>
      <c r="K46" s="40"/>
      <c r="O46" s="82">
        <v>1.05</v>
      </c>
      <c r="P46" s="82">
        <f t="shared" si="9"/>
        <v>15.057</v>
      </c>
      <c r="Q46" s="2"/>
      <c r="T46" s="92" t="s">
        <v>100</v>
      </c>
      <c r="U46" s="87" t="s">
        <v>714</v>
      </c>
    </row>
    <row r="47" spans="2:21" x14ac:dyDescent="0.25">
      <c r="B47" s="190">
        <v>42713</v>
      </c>
      <c r="C47" s="10">
        <v>700</v>
      </c>
      <c r="D47" s="199">
        <v>3.6873399999999998</v>
      </c>
      <c r="E47" s="40">
        <v>3.67</v>
      </c>
      <c r="F47" s="233">
        <f t="shared" si="10"/>
        <v>-12.137999999999938</v>
      </c>
      <c r="G47" s="40">
        <f t="shared" si="11"/>
        <v>2581.1379999999999</v>
      </c>
      <c r="H47" s="229">
        <f t="shared" si="12"/>
        <v>-4.7025769253716534E-3</v>
      </c>
      <c r="I47" s="40"/>
      <c r="J47" s="40"/>
      <c r="K47" s="40"/>
      <c r="O47" s="82">
        <v>1.04</v>
      </c>
      <c r="P47" s="82">
        <f t="shared" si="9"/>
        <v>14.913600000000001</v>
      </c>
      <c r="Q47" s="2"/>
      <c r="T47" s="92" t="s">
        <v>101</v>
      </c>
      <c r="U47" s="87">
        <v>3.22</v>
      </c>
    </row>
    <row r="48" spans="2:21" x14ac:dyDescent="0.25">
      <c r="B48" s="190">
        <v>42716</v>
      </c>
      <c r="C48" s="10">
        <v>1100</v>
      </c>
      <c r="D48" s="199">
        <v>3.641</v>
      </c>
      <c r="E48" s="40">
        <v>3.49</v>
      </c>
      <c r="F48" s="233">
        <f t="shared" si="10"/>
        <v>-166.0999999999998</v>
      </c>
      <c r="G48" s="40">
        <f t="shared" si="11"/>
        <v>4005.1</v>
      </c>
      <c r="H48" s="229">
        <f t="shared" si="12"/>
        <v>-4.1472123043119966E-2</v>
      </c>
      <c r="I48" s="40"/>
      <c r="J48" s="40"/>
      <c r="K48" s="40"/>
      <c r="O48" s="82">
        <v>1.03</v>
      </c>
      <c r="P48" s="82">
        <f t="shared" si="9"/>
        <v>14.770200000000001</v>
      </c>
      <c r="Q48" s="2"/>
      <c r="T48" s="92" t="s">
        <v>102</v>
      </c>
      <c r="U48" s="87">
        <v>0.447965</v>
      </c>
    </row>
    <row r="49" spans="1:21" x14ac:dyDescent="0.25">
      <c r="B49" s="190">
        <v>42725</v>
      </c>
      <c r="C49" s="10">
        <v>1800</v>
      </c>
      <c r="D49" s="199">
        <v>3.5200800000000001</v>
      </c>
      <c r="E49" s="40">
        <v>3.29</v>
      </c>
      <c r="F49" s="233">
        <f t="shared" si="10"/>
        <v>-414.14400000000012</v>
      </c>
      <c r="G49" s="40">
        <f t="shared" si="11"/>
        <v>6336.1440000000002</v>
      </c>
      <c r="H49" s="229">
        <f t="shared" si="12"/>
        <v>-6.5362150860207732E-2</v>
      </c>
      <c r="I49" s="40"/>
      <c r="J49" s="40"/>
      <c r="K49" s="40"/>
      <c r="O49" s="82">
        <v>1.02</v>
      </c>
      <c r="P49" s="82">
        <f t="shared" si="9"/>
        <v>14.626799999999999</v>
      </c>
      <c r="Q49" s="2"/>
      <c r="T49" s="92" t="s">
        <v>121</v>
      </c>
      <c r="U49" s="87" t="s">
        <v>445</v>
      </c>
    </row>
    <row r="50" spans="1:21" x14ac:dyDescent="0.25">
      <c r="B50" s="190">
        <v>42729</v>
      </c>
      <c r="C50" s="10">
        <v>1800</v>
      </c>
      <c r="D50" s="199">
        <v>3.5200800000000001</v>
      </c>
      <c r="E50" s="40">
        <v>3.42</v>
      </c>
      <c r="F50" s="233">
        <f t="shared" si="10"/>
        <v>-180.14400000000029</v>
      </c>
      <c r="G50" s="40">
        <f t="shared" si="11"/>
        <v>6336.1440000000002</v>
      </c>
      <c r="H50" s="229">
        <f t="shared" si="12"/>
        <v>-2.8431172018817803E-2</v>
      </c>
      <c r="I50" s="40"/>
      <c r="J50" s="40"/>
      <c r="K50" s="40"/>
      <c r="O50" s="82">
        <v>1.01</v>
      </c>
      <c r="P50" s="82">
        <f t="shared" si="9"/>
        <v>14.4834</v>
      </c>
      <c r="Q50" s="2"/>
      <c r="T50" s="92"/>
      <c r="U50" s="87"/>
    </row>
    <row r="51" spans="1:21" x14ac:dyDescent="0.25">
      <c r="B51" s="190">
        <v>42736</v>
      </c>
      <c r="C51" s="10">
        <v>1800</v>
      </c>
      <c r="D51" s="199">
        <v>3.4559099999999998</v>
      </c>
      <c r="E51" s="40">
        <v>3.3650000000000002</v>
      </c>
      <c r="F51" s="233">
        <f t="shared" si="10"/>
        <v>-163.63799999999929</v>
      </c>
      <c r="G51" s="40">
        <f t="shared" si="11"/>
        <v>6220.6379999999999</v>
      </c>
      <c r="H51" s="229">
        <f t="shared" si="12"/>
        <v>-2.6305661895130256E-2</v>
      </c>
      <c r="I51" s="40" t="s">
        <v>186</v>
      </c>
      <c r="J51" s="40"/>
      <c r="K51" s="40"/>
      <c r="O51" s="82">
        <v>1</v>
      </c>
      <c r="P51" s="82">
        <f t="shared" si="9"/>
        <v>14.34</v>
      </c>
      <c r="Q51" s="2"/>
      <c r="T51" s="92" t="s">
        <v>104</v>
      </c>
      <c r="U51" s="87" t="s">
        <v>715</v>
      </c>
    </row>
    <row r="52" spans="1:21" x14ac:dyDescent="0.25">
      <c r="B52" s="190">
        <v>42738</v>
      </c>
      <c r="C52" s="10">
        <v>1100</v>
      </c>
      <c r="D52" s="199">
        <v>3.3961100000000002</v>
      </c>
      <c r="E52" s="40">
        <v>3.58</v>
      </c>
      <c r="F52" s="233">
        <f t="shared" si="10"/>
        <v>202.27899999999988</v>
      </c>
      <c r="G52" s="40">
        <f t="shared" si="11"/>
        <v>3735.721</v>
      </c>
      <c r="H52" s="229">
        <f t="shared" si="12"/>
        <v>5.4147244936118055E-2</v>
      </c>
      <c r="I52" s="40"/>
      <c r="J52" s="40"/>
      <c r="K52" s="40"/>
      <c r="O52" s="82">
        <v>0.99</v>
      </c>
      <c r="P52" s="82">
        <f t="shared" si="9"/>
        <v>14.1966</v>
      </c>
      <c r="Q52" s="2"/>
      <c r="T52" s="92" t="s">
        <v>105</v>
      </c>
      <c r="U52" s="87" t="s">
        <v>556</v>
      </c>
    </row>
    <row r="53" spans="1:21" x14ac:dyDescent="0.25">
      <c r="B53" s="190">
        <v>42739</v>
      </c>
      <c r="C53" s="10">
        <v>1100</v>
      </c>
      <c r="D53" s="199">
        <v>3.39608</v>
      </c>
      <c r="E53" s="40">
        <v>3.67</v>
      </c>
      <c r="F53" s="233">
        <f t="shared" si="10"/>
        <v>301.31199999999995</v>
      </c>
      <c r="G53" s="40">
        <f t="shared" si="11"/>
        <v>3735.6880000000001</v>
      </c>
      <c r="H53" s="229">
        <f t="shared" si="12"/>
        <v>8.0657699465265825E-2</v>
      </c>
      <c r="I53" s="40"/>
      <c r="J53" s="40"/>
      <c r="K53" s="40"/>
      <c r="O53" s="82">
        <v>0.98</v>
      </c>
      <c r="P53" s="82">
        <f t="shared" si="9"/>
        <v>14.0532</v>
      </c>
      <c r="Q53" s="2"/>
      <c r="T53" s="92" t="s">
        <v>106</v>
      </c>
      <c r="U53" s="89">
        <v>80683646</v>
      </c>
    </row>
    <row r="54" spans="1:21" x14ac:dyDescent="0.25">
      <c r="B54" s="190">
        <v>42745</v>
      </c>
      <c r="C54" s="10">
        <v>1100</v>
      </c>
      <c r="D54" s="199">
        <v>3.39608</v>
      </c>
      <c r="E54" s="40">
        <v>3.63</v>
      </c>
      <c r="F54" s="233">
        <f t="shared" si="10"/>
        <v>257.3119999999999</v>
      </c>
      <c r="G54" s="40">
        <f t="shared" si="11"/>
        <v>3735.6880000000001</v>
      </c>
      <c r="H54" s="229">
        <f t="shared" si="12"/>
        <v>6.8879413912510873E-2</v>
      </c>
      <c r="I54" s="40"/>
      <c r="J54" s="40"/>
      <c r="K54" s="40"/>
      <c r="O54" s="82">
        <v>0.97</v>
      </c>
      <c r="P54" s="82">
        <f t="shared" si="9"/>
        <v>13.909799999999999</v>
      </c>
      <c r="T54" s="92" t="s">
        <v>109</v>
      </c>
      <c r="U54" s="89">
        <v>41241800</v>
      </c>
    </row>
    <row r="55" spans="1:21" x14ac:dyDescent="0.25">
      <c r="A55" t="s">
        <v>365</v>
      </c>
      <c r="B55" s="190">
        <v>42754</v>
      </c>
      <c r="C55" s="579">
        <v>1500</v>
      </c>
      <c r="D55" s="580">
        <v>3.40246</v>
      </c>
      <c r="E55" s="40">
        <v>3.48</v>
      </c>
      <c r="F55" s="233">
        <f t="shared" si="10"/>
        <v>116.30999999999992</v>
      </c>
      <c r="G55" s="40">
        <f t="shared" si="11"/>
        <v>5103.6900000000005</v>
      </c>
      <c r="H55" s="229">
        <f t="shared" si="12"/>
        <v>2.2789393556426802E-2</v>
      </c>
      <c r="I55" s="40"/>
      <c r="J55" s="40"/>
      <c r="K55" s="40"/>
      <c r="O55" s="82">
        <v>0.96</v>
      </c>
      <c r="P55" s="82">
        <f t="shared" si="9"/>
        <v>13.766399999999999</v>
      </c>
      <c r="T55" s="92" t="s">
        <v>107</v>
      </c>
      <c r="U55" s="87" t="s">
        <v>716</v>
      </c>
    </row>
    <row r="56" spans="1:21" x14ac:dyDescent="0.25">
      <c r="A56" t="s">
        <v>372</v>
      </c>
      <c r="B56" s="190">
        <v>42760</v>
      </c>
      <c r="C56" s="10">
        <v>1800</v>
      </c>
      <c r="D56" s="199">
        <v>3.40205</v>
      </c>
      <c r="E56" s="40">
        <v>3.43</v>
      </c>
      <c r="F56" s="233">
        <f t="shared" si="10"/>
        <v>50.310000000000258</v>
      </c>
      <c r="G56" s="40">
        <f t="shared" si="11"/>
        <v>6123.69</v>
      </c>
      <c r="H56" s="229">
        <f t="shared" si="12"/>
        <v>8.2156346908482062E-3</v>
      </c>
      <c r="I56" s="40"/>
      <c r="J56" s="40"/>
      <c r="K56" s="40"/>
      <c r="O56" s="82">
        <v>0.95</v>
      </c>
      <c r="P56" s="82">
        <f t="shared" si="9"/>
        <v>13.622999999999999</v>
      </c>
      <c r="T56" s="92" t="s">
        <v>110</v>
      </c>
      <c r="U56" s="87" t="s">
        <v>128</v>
      </c>
    </row>
    <row r="57" spans="1:21" x14ac:dyDescent="0.25">
      <c r="A57" t="s">
        <v>373</v>
      </c>
      <c r="B57" s="190">
        <v>42760</v>
      </c>
      <c r="C57" s="10">
        <v>1400</v>
      </c>
      <c r="D57" s="199">
        <v>3.38801</v>
      </c>
      <c r="E57" s="40">
        <v>3.44</v>
      </c>
      <c r="F57" s="233">
        <f t="shared" si="10"/>
        <v>72.785999999999973</v>
      </c>
      <c r="G57" s="40">
        <f t="shared" si="11"/>
        <v>4743.2139999999999</v>
      </c>
      <c r="H57" s="229">
        <f t="shared" si="12"/>
        <v>1.5345291188632849E-2</v>
      </c>
      <c r="I57" s="40"/>
      <c r="J57" s="40"/>
      <c r="K57" s="40"/>
      <c r="O57" s="82">
        <v>0.94</v>
      </c>
      <c r="P57" s="82">
        <f t="shared" si="9"/>
        <v>13.4796</v>
      </c>
      <c r="T57" s="92" t="s">
        <v>111</v>
      </c>
      <c r="U57" s="87">
        <v>-0.51</v>
      </c>
    </row>
    <row r="58" spans="1:21" x14ac:dyDescent="0.25">
      <c r="A58" t="s">
        <v>417</v>
      </c>
      <c r="B58" s="190">
        <v>42771</v>
      </c>
      <c r="C58" s="10">
        <v>1400</v>
      </c>
      <c r="D58" s="199">
        <v>3.38801</v>
      </c>
      <c r="E58" s="40">
        <v>3.42</v>
      </c>
      <c r="F58" s="233">
        <f t="shared" si="10"/>
        <v>44.785999999999945</v>
      </c>
      <c r="G58" s="40">
        <f t="shared" si="11"/>
        <v>4743.2139999999999</v>
      </c>
      <c r="H58" s="229">
        <f t="shared" si="12"/>
        <v>9.4421208910245146E-3</v>
      </c>
      <c r="I58" s="40"/>
      <c r="J58" s="40"/>
      <c r="K58" s="40"/>
      <c r="O58" s="82">
        <v>0.93</v>
      </c>
      <c r="P58" s="82">
        <f t="shared" si="9"/>
        <v>13.3362</v>
      </c>
      <c r="T58" s="92" t="s">
        <v>108</v>
      </c>
      <c r="U58" s="87" t="s">
        <v>598</v>
      </c>
    </row>
    <row r="59" spans="1:21" x14ac:dyDescent="0.25">
      <c r="A59" t="s">
        <v>421</v>
      </c>
      <c r="B59" s="190">
        <v>42772</v>
      </c>
      <c r="C59" s="10">
        <v>2000</v>
      </c>
      <c r="D59" s="199">
        <v>3.3616199999999998</v>
      </c>
      <c r="E59" s="40">
        <v>3.33</v>
      </c>
      <c r="F59" s="233">
        <f t="shared" si="10"/>
        <v>-63.239999999999519</v>
      </c>
      <c r="G59" s="40">
        <f t="shared" si="11"/>
        <v>6723.24</v>
      </c>
      <c r="H59" s="229">
        <f t="shared" si="12"/>
        <v>-9.4061791636174709E-3</v>
      </c>
      <c r="I59" s="40"/>
      <c r="J59" s="40"/>
      <c r="K59" s="233"/>
      <c r="O59" s="82">
        <v>0.92</v>
      </c>
      <c r="P59" s="82">
        <f t="shared" si="9"/>
        <v>13.1928</v>
      </c>
    </row>
    <row r="60" spans="1:21" x14ac:dyDescent="0.25">
      <c r="A60" t="s">
        <v>469</v>
      </c>
      <c r="B60" s="190">
        <v>42788</v>
      </c>
      <c r="C60" s="10">
        <v>2000</v>
      </c>
      <c r="D60" s="199">
        <v>3.3616199999999998</v>
      </c>
      <c r="E60" s="40">
        <v>3.35</v>
      </c>
      <c r="F60" s="233">
        <f t="shared" ref="F60:F62" si="13">C60*(E60-D60)</f>
        <v>-23.239999999999483</v>
      </c>
      <c r="G60" s="40">
        <f t="shared" ref="G60:G62" si="14">D60*C60</f>
        <v>6723.24</v>
      </c>
      <c r="H60" s="229">
        <f t="shared" ref="H60:H62" si="15">(E60-D60)/D60</f>
        <v>-3.4566667261617143E-3</v>
      </c>
      <c r="I60" s="40"/>
      <c r="J60" s="40"/>
      <c r="K60" s="233"/>
      <c r="O60" s="82">
        <v>0.91</v>
      </c>
      <c r="P60" s="82">
        <f t="shared" si="9"/>
        <v>13.0494</v>
      </c>
    </row>
    <row r="61" spans="1:21" x14ac:dyDescent="0.25">
      <c r="A61" t="s">
        <v>473</v>
      </c>
      <c r="B61" s="190">
        <v>42790</v>
      </c>
      <c r="C61" s="10">
        <v>1300</v>
      </c>
      <c r="D61" s="239">
        <v>3.33</v>
      </c>
      <c r="E61" s="40">
        <v>3.37</v>
      </c>
      <c r="F61" s="233">
        <f t="shared" si="13"/>
        <v>52.000000000000043</v>
      </c>
      <c r="G61" s="40">
        <f t="shared" si="14"/>
        <v>4329</v>
      </c>
      <c r="H61" s="229">
        <f t="shared" si="15"/>
        <v>1.2012012012012022E-2</v>
      </c>
      <c r="I61" s="40"/>
      <c r="J61" s="40"/>
      <c r="K61" s="233"/>
      <c r="O61" s="82">
        <v>0.9</v>
      </c>
      <c r="P61" s="82">
        <f t="shared" si="9"/>
        <v>12.906000000000001</v>
      </c>
    </row>
    <row r="62" spans="1:21" x14ac:dyDescent="0.25">
      <c r="A62" t="s">
        <v>486</v>
      </c>
      <c r="B62" s="190">
        <v>42793</v>
      </c>
      <c r="C62" s="10">
        <v>2000</v>
      </c>
      <c r="D62" s="239">
        <v>3.2776399999999999</v>
      </c>
      <c r="E62" s="40">
        <v>3.29</v>
      </c>
      <c r="F62" s="233">
        <f t="shared" si="13"/>
        <v>24.720000000000297</v>
      </c>
      <c r="G62" s="40">
        <f t="shared" si="14"/>
        <v>6555.28</v>
      </c>
      <c r="H62" s="229">
        <f t="shared" si="15"/>
        <v>3.7710059677085188E-3</v>
      </c>
      <c r="I62" s="40" t="s">
        <v>487</v>
      </c>
      <c r="J62" s="40"/>
      <c r="K62" s="233"/>
    </row>
    <row r="63" spans="1:21" x14ac:dyDescent="0.25">
      <c r="A63">
        <v>700</v>
      </c>
      <c r="B63" s="190">
        <v>42800</v>
      </c>
      <c r="C63" s="10">
        <v>2000</v>
      </c>
      <c r="D63" s="239">
        <v>3.2776399999999999</v>
      </c>
      <c r="E63" s="40">
        <v>2.76</v>
      </c>
      <c r="F63" s="233">
        <f t="shared" ref="F63" si="16">C63*(E63-D63)</f>
        <v>-1035.2800000000002</v>
      </c>
      <c r="G63" s="40">
        <f t="shared" ref="G63" si="17">D63*C63</f>
        <v>6555.28</v>
      </c>
      <c r="H63" s="229">
        <f t="shared" ref="H63" si="18">(E63-D63)/D63</f>
        <v>-0.15793070623985553</v>
      </c>
      <c r="I63" s="40"/>
      <c r="J63" s="40"/>
      <c r="K63" s="233"/>
      <c r="M63" s="275"/>
    </row>
    <row r="64" spans="1:21" x14ac:dyDescent="0.25">
      <c r="A64">
        <v>1300</v>
      </c>
      <c r="B64" s="190">
        <v>42808</v>
      </c>
      <c r="C64" s="10">
        <v>3000</v>
      </c>
      <c r="D64" s="239">
        <v>2.988</v>
      </c>
      <c r="E64" s="40">
        <v>2.41</v>
      </c>
      <c r="F64" s="233">
        <f t="shared" ref="F64:F66" si="19">C64*(E64-D64)</f>
        <v>-1733.9999999999995</v>
      </c>
      <c r="G64" s="40">
        <f t="shared" ref="G64:G66" si="20">D64*C64</f>
        <v>8964</v>
      </c>
      <c r="H64" s="229">
        <f t="shared" ref="H64:H66" si="21">(E64-D64)/D64</f>
        <v>-0.19344042838018738</v>
      </c>
      <c r="I64" s="40"/>
      <c r="J64" s="40"/>
      <c r="K64" s="233"/>
    </row>
    <row r="65" spans="1:11" x14ac:dyDescent="0.25">
      <c r="A65">
        <v>300</v>
      </c>
      <c r="B65" s="190">
        <v>42809</v>
      </c>
      <c r="C65" s="10">
        <v>3000</v>
      </c>
      <c r="D65" s="239">
        <v>2.97</v>
      </c>
      <c r="E65" s="40">
        <v>2.41</v>
      </c>
      <c r="F65" s="233">
        <f t="shared" si="19"/>
        <v>-1680.0000000000002</v>
      </c>
      <c r="G65" s="40">
        <f t="shared" si="20"/>
        <v>8910</v>
      </c>
      <c r="H65" s="229">
        <f t="shared" si="21"/>
        <v>-0.18855218855218855</v>
      </c>
      <c r="I65" s="40"/>
      <c r="J65" s="40"/>
      <c r="K65" s="233"/>
    </row>
    <row r="66" spans="1:11" x14ac:dyDescent="0.25">
      <c r="A66">
        <v>0</v>
      </c>
      <c r="B66" s="190">
        <v>42810</v>
      </c>
      <c r="C66" s="10">
        <v>2600</v>
      </c>
      <c r="D66" s="239">
        <v>3.0394000000000001</v>
      </c>
      <c r="E66" s="40">
        <v>2.5099999999999998</v>
      </c>
      <c r="F66" s="233">
        <f t="shared" si="19"/>
        <v>-1376.4400000000007</v>
      </c>
      <c r="G66" s="40">
        <f t="shared" si="20"/>
        <v>7902.4400000000005</v>
      </c>
      <c r="H66" s="229">
        <f t="shared" si="21"/>
        <v>-0.17417911429887487</v>
      </c>
      <c r="I66" s="40"/>
      <c r="J66" s="40"/>
      <c r="K66" s="233">
        <v>-941</v>
      </c>
    </row>
    <row r="67" spans="1:11" x14ac:dyDescent="0.25">
      <c r="A67">
        <v>0</v>
      </c>
      <c r="B67" s="190">
        <v>42811</v>
      </c>
      <c r="C67" s="10">
        <v>3000</v>
      </c>
      <c r="D67" s="239">
        <v>2.9581200000000001</v>
      </c>
      <c r="E67" s="40">
        <v>2.4700000000000002</v>
      </c>
      <c r="F67" s="233">
        <f t="shared" ref="F67" si="22">C67*(E67-D67)</f>
        <v>-1464.3599999999997</v>
      </c>
      <c r="G67" s="40">
        <f t="shared" ref="G67" si="23">D67*C67</f>
        <v>8874.36</v>
      </c>
      <c r="H67" s="229">
        <f t="shared" ref="H67" si="24">(E67-D67)/D67</f>
        <v>-0.16501020918691597</v>
      </c>
      <c r="I67" s="40"/>
      <c r="J67" s="40"/>
      <c r="K67" s="233">
        <v>-1029</v>
      </c>
    </row>
    <row r="68" spans="1:11" x14ac:dyDescent="0.25">
      <c r="A68">
        <v>0</v>
      </c>
      <c r="B68" s="190">
        <v>42816</v>
      </c>
      <c r="C68" s="10">
        <v>4000</v>
      </c>
      <c r="D68" s="239">
        <v>2.7585999999999999</v>
      </c>
      <c r="E68" s="40">
        <v>2.11</v>
      </c>
      <c r="F68" s="233">
        <f t="shared" ref="F68" si="25">C68*(E68-D68)</f>
        <v>-2594.4</v>
      </c>
      <c r="G68" s="40">
        <f t="shared" ref="G68" si="26">D68*C68</f>
        <v>11034.4</v>
      </c>
      <c r="H68" s="229">
        <f t="shared" ref="H68" si="27">(E68-D68)/D68</f>
        <v>-0.23511926339447548</v>
      </c>
      <c r="I68" s="40"/>
      <c r="J68" s="40"/>
      <c r="K68" s="233">
        <v>-2159</v>
      </c>
    </row>
    <row r="69" spans="1:11" x14ac:dyDescent="0.25">
      <c r="A69">
        <v>0</v>
      </c>
      <c r="B69" s="190">
        <v>42821</v>
      </c>
      <c r="C69" s="10">
        <v>4000</v>
      </c>
      <c r="D69" s="239">
        <v>2.7585999999999999</v>
      </c>
      <c r="E69" s="40">
        <v>2.02</v>
      </c>
      <c r="F69" s="233">
        <f t="shared" ref="F69" si="28">C69*(E69-D69)</f>
        <v>-2954.3999999999996</v>
      </c>
      <c r="G69" s="40">
        <f t="shared" ref="G69" si="29">D69*C69</f>
        <v>11034.4</v>
      </c>
      <c r="H69" s="229">
        <f t="shared" ref="H69" si="30">(E69-D69)/D69</f>
        <v>-0.26774450808381062</v>
      </c>
      <c r="I69" s="40"/>
      <c r="J69" s="40"/>
      <c r="K69" s="233">
        <v>-2519</v>
      </c>
    </row>
    <row r="70" spans="1:11" x14ac:dyDescent="0.25">
      <c r="A70">
        <v>600</v>
      </c>
      <c r="B70" s="190">
        <v>42824</v>
      </c>
      <c r="C70" s="10">
        <v>4000</v>
      </c>
      <c r="D70" s="239">
        <v>2.7585999999999999</v>
      </c>
      <c r="E70" s="40">
        <v>2.13</v>
      </c>
      <c r="F70" s="233">
        <f t="shared" ref="F70" si="31">C70*(E70-D70)</f>
        <v>-2514.4</v>
      </c>
      <c r="G70" s="40">
        <f t="shared" ref="G70" si="32">D70*C70</f>
        <v>11034.4</v>
      </c>
      <c r="H70" s="229">
        <f t="shared" ref="H70" si="33">(E70-D70)/D70</f>
        <v>-0.22786920901906765</v>
      </c>
      <c r="I70" s="40"/>
      <c r="J70" s="40"/>
      <c r="K70" s="233">
        <v>-2079</v>
      </c>
    </row>
    <row r="71" spans="1:11" x14ac:dyDescent="0.25">
      <c r="A71">
        <v>4000</v>
      </c>
      <c r="B71" s="190">
        <v>42862</v>
      </c>
      <c r="C71" s="10">
        <v>4000</v>
      </c>
      <c r="D71" s="239">
        <v>2.7585999999999999</v>
      </c>
      <c r="E71" s="40">
        <v>1.46</v>
      </c>
      <c r="F71" s="233">
        <f t="shared" ref="F71:F73" si="34">C71*(E71-D71)</f>
        <v>-5194.3999999999996</v>
      </c>
      <c r="G71" s="40">
        <f t="shared" ref="G71:G73" si="35">D71*C71</f>
        <v>11034.4</v>
      </c>
      <c r="H71" s="229">
        <f t="shared" ref="H71:H73" si="36">(E71-D71)/D71</f>
        <v>-0.47074603059522946</v>
      </c>
      <c r="I71" s="40"/>
      <c r="J71" s="40"/>
      <c r="K71" s="233">
        <v>-4549</v>
      </c>
    </row>
    <row r="72" spans="1:11" x14ac:dyDescent="0.25">
      <c r="B72" s="190">
        <v>42879</v>
      </c>
      <c r="C72" s="10">
        <v>4000</v>
      </c>
      <c r="D72" s="239">
        <v>2.6636000000000002</v>
      </c>
      <c r="E72" s="40"/>
      <c r="F72" s="233"/>
      <c r="G72" s="40">
        <f t="shared" si="35"/>
        <v>10654.400000000001</v>
      </c>
      <c r="H72" s="229"/>
      <c r="I72" s="40"/>
      <c r="J72" s="40"/>
      <c r="K72" s="233"/>
    </row>
    <row r="73" spans="1:11" x14ac:dyDescent="0.25">
      <c r="A73">
        <v>4000</v>
      </c>
      <c r="B73" s="190">
        <v>42917</v>
      </c>
      <c r="C73" s="10">
        <v>4000</v>
      </c>
      <c r="D73" s="239">
        <v>2.6240000000000001</v>
      </c>
      <c r="E73" s="40">
        <v>1.1599999999999999</v>
      </c>
      <c r="F73" s="233">
        <f t="shared" si="34"/>
        <v>-5856.0000000000009</v>
      </c>
      <c r="G73" s="40">
        <f t="shared" si="35"/>
        <v>10496</v>
      </c>
      <c r="H73" s="229">
        <f t="shared" si="36"/>
        <v>-0.55792682926829273</v>
      </c>
      <c r="I73" s="40"/>
      <c r="J73" s="40"/>
      <c r="K73" s="233">
        <v>-5420</v>
      </c>
    </row>
    <row r="74" spans="1:11" x14ac:dyDescent="0.25">
      <c r="B74" s="190"/>
      <c r="C74" s="10"/>
      <c r="D74" s="239"/>
      <c r="E74" s="40"/>
      <c r="F74" s="233"/>
      <c r="G74" s="40"/>
      <c r="H74" s="229"/>
      <c r="I74" s="40"/>
      <c r="J74" s="40"/>
      <c r="K74" s="233"/>
    </row>
    <row r="75" spans="1:11" x14ac:dyDescent="0.25">
      <c r="A75">
        <v>166</v>
      </c>
      <c r="B75" s="190">
        <v>42942</v>
      </c>
      <c r="C75" s="10">
        <v>166</v>
      </c>
      <c r="D75" s="239">
        <v>53.826999999999998</v>
      </c>
      <c r="E75" s="40">
        <v>15.75</v>
      </c>
      <c r="F75" s="233">
        <f t="shared" ref="F75" si="37">C75*(E75-D75)</f>
        <v>-6320.7819999999992</v>
      </c>
      <c r="G75" s="40">
        <f t="shared" ref="G75" si="38">D75*C75</f>
        <v>8935.2819999999992</v>
      </c>
      <c r="H75" s="229">
        <f t="shared" ref="H75" si="39">(E75-D75)/D75</f>
        <v>-0.70739591654745759</v>
      </c>
      <c r="I75" s="40"/>
      <c r="J75" s="40"/>
      <c r="K75" s="233">
        <v>-5885</v>
      </c>
    </row>
    <row r="76" spans="1:11" x14ac:dyDescent="0.25">
      <c r="A76">
        <v>166</v>
      </c>
      <c r="B76" s="190">
        <v>42962</v>
      </c>
      <c r="C76" s="10">
        <v>266</v>
      </c>
      <c r="D76" s="239">
        <v>38.979999999999997</v>
      </c>
      <c r="E76" s="40">
        <v>14.34</v>
      </c>
      <c r="F76" s="233">
        <f t="shared" ref="F76" si="40">C76*(E76-D76)</f>
        <v>-6554.2399999999989</v>
      </c>
      <c r="G76" s="40">
        <f t="shared" ref="G76" si="41">D76*C76</f>
        <v>10368.679999999998</v>
      </c>
      <c r="H76" s="229">
        <f t="shared" ref="H76" si="42">(E76-D76)/D76</f>
        <v>-0.63211903540277059</v>
      </c>
      <c r="I76" s="40"/>
      <c r="J76" s="40"/>
      <c r="K76" s="233">
        <v>-6120</v>
      </c>
    </row>
    <row r="77" spans="1:11" x14ac:dyDescent="0.25">
      <c r="B77" s="190"/>
      <c r="C77" s="10"/>
      <c r="D77" s="239"/>
      <c r="E77" s="40"/>
      <c r="F77" s="233"/>
      <c r="G77" s="40"/>
      <c r="H77" s="229"/>
      <c r="I77" s="40"/>
      <c r="J77" s="40"/>
      <c r="K77" s="233"/>
    </row>
    <row r="78" spans="1:11" x14ac:dyDescent="0.25">
      <c r="B78" s="190"/>
      <c r="C78" s="10"/>
      <c r="D78" s="239"/>
      <c r="E78" s="40"/>
      <c r="F78" s="233"/>
      <c r="G78" s="40"/>
      <c r="H78" s="229"/>
      <c r="I78" s="40"/>
      <c r="J78" s="40"/>
      <c r="K78" s="233"/>
    </row>
    <row r="79" spans="1:11" x14ac:dyDescent="0.25">
      <c r="B79" s="190"/>
      <c r="C79" s="10"/>
      <c r="D79" s="239"/>
      <c r="E79" s="40"/>
      <c r="F79" s="233"/>
      <c r="G79" s="40"/>
      <c r="H79" s="229"/>
      <c r="I79" s="40"/>
      <c r="J79" s="40"/>
      <c r="K79" s="233"/>
    </row>
    <row r="80" spans="1:11" x14ac:dyDescent="0.25">
      <c r="B80" s="190"/>
      <c r="C80" s="10"/>
      <c r="D80" s="239"/>
      <c r="E80" s="40"/>
      <c r="F80" s="233"/>
      <c r="G80" s="40"/>
      <c r="H80" s="229"/>
      <c r="I80" s="40"/>
      <c r="J80" s="40"/>
      <c r="K80" s="233"/>
    </row>
    <row r="81" spans="2:13" x14ac:dyDescent="0.25">
      <c r="B81" s="190"/>
      <c r="C81" s="10"/>
      <c r="D81" s="239"/>
      <c r="E81" s="40"/>
      <c r="F81" s="233"/>
      <c r="G81" s="40"/>
      <c r="H81" s="229"/>
      <c r="I81" s="40"/>
      <c r="J81" s="40"/>
      <c r="K81" s="233"/>
    </row>
    <row r="82" spans="2:13" x14ac:dyDescent="0.25">
      <c r="B82" s="190"/>
      <c r="C82" s="10"/>
      <c r="D82" s="239"/>
      <c r="E82" s="40"/>
      <c r="F82" s="233"/>
      <c r="G82" s="40"/>
      <c r="H82" s="229"/>
      <c r="I82" s="40"/>
      <c r="J82" s="40"/>
      <c r="K82" s="233"/>
    </row>
    <row r="83" spans="2:13" x14ac:dyDescent="0.25">
      <c r="B83" s="190"/>
      <c r="C83" s="10"/>
      <c r="D83" s="239"/>
      <c r="E83" s="40"/>
      <c r="F83" s="233"/>
      <c r="G83" s="40"/>
      <c r="H83" s="229"/>
      <c r="I83" s="40"/>
      <c r="J83" s="40"/>
      <c r="K83" s="233"/>
    </row>
    <row r="84" spans="2:13" x14ac:dyDescent="0.25">
      <c r="B84" s="190"/>
      <c r="C84" s="10"/>
      <c r="D84" s="239"/>
      <c r="E84" s="40"/>
      <c r="F84" s="233"/>
      <c r="G84" s="40"/>
      <c r="H84" s="229"/>
      <c r="I84" s="40"/>
      <c r="J84" s="40"/>
      <c r="K84" s="233"/>
    </row>
    <row r="85" spans="2:13" x14ac:dyDescent="0.25">
      <c r="B85" s="190"/>
      <c r="C85" s="10"/>
      <c r="D85" s="239"/>
      <c r="E85" s="40"/>
      <c r="F85" s="233"/>
      <c r="G85" s="40"/>
      <c r="H85" s="229"/>
      <c r="I85" s="40"/>
      <c r="J85" s="40"/>
      <c r="K85" s="233"/>
    </row>
    <row r="86" spans="2:13" x14ac:dyDescent="0.25">
      <c r="B86" s="190"/>
      <c r="C86" s="10"/>
      <c r="D86" s="239"/>
      <c r="E86" s="40"/>
      <c r="F86" s="233"/>
      <c r="G86" s="40"/>
      <c r="H86" s="229"/>
      <c r="I86" s="40"/>
      <c r="J86" s="40"/>
      <c r="K86" s="233"/>
    </row>
    <row r="87" spans="2:13" x14ac:dyDescent="0.25">
      <c r="B87" s="190"/>
      <c r="C87" s="10"/>
      <c r="D87" s="239"/>
      <c r="E87" s="40"/>
      <c r="F87" s="233"/>
      <c r="G87" s="40"/>
      <c r="H87" s="229"/>
      <c r="I87" s="40"/>
      <c r="J87" s="40"/>
      <c r="K87" s="233"/>
    </row>
    <row r="88" spans="2:13" x14ac:dyDescent="0.25">
      <c r="B88" s="190"/>
      <c r="C88" s="10"/>
      <c r="D88" s="239"/>
      <c r="E88" s="40"/>
      <c r="F88" s="233"/>
      <c r="G88" s="40"/>
      <c r="H88" s="229"/>
      <c r="I88" s="40"/>
      <c r="J88" s="40"/>
      <c r="K88" s="233"/>
    </row>
    <row r="89" spans="2:13" x14ac:dyDescent="0.25">
      <c r="B89" s="190"/>
      <c r="C89" s="10"/>
      <c r="D89" s="239"/>
      <c r="E89" s="40"/>
      <c r="F89" s="233"/>
      <c r="G89" s="40"/>
      <c r="H89" s="229"/>
      <c r="I89" s="40"/>
      <c r="J89" s="40"/>
      <c r="K89" s="233"/>
    </row>
    <row r="90" spans="2:13" x14ac:dyDescent="0.25">
      <c r="B90" s="190"/>
      <c r="C90" s="10"/>
      <c r="D90" s="239"/>
      <c r="E90" s="40"/>
      <c r="F90" s="233"/>
      <c r="G90" s="40"/>
      <c r="H90" s="229"/>
      <c r="I90" s="40"/>
      <c r="J90" s="40"/>
      <c r="K90" s="233"/>
    </row>
    <row r="91" spans="2:13" x14ac:dyDescent="0.25">
      <c r="B91" s="190"/>
      <c r="C91" s="10"/>
      <c r="D91" s="239"/>
      <c r="E91" s="40"/>
      <c r="F91" s="233"/>
      <c r="G91" s="40"/>
      <c r="H91" s="229"/>
      <c r="I91" s="40"/>
      <c r="J91" s="40"/>
      <c r="K91" s="233"/>
    </row>
    <row r="92" spans="2:13" x14ac:dyDescent="0.25">
      <c r="B92" s="190"/>
      <c r="C92" s="10"/>
      <c r="D92" s="239"/>
      <c r="E92" s="40"/>
      <c r="F92" s="233"/>
      <c r="G92" s="40"/>
      <c r="H92" s="229"/>
      <c r="I92" s="40"/>
      <c r="J92" s="40"/>
      <c r="K92" s="233"/>
    </row>
    <row r="93" spans="2:13" x14ac:dyDescent="0.25">
      <c r="B93" s="190"/>
      <c r="C93" s="10"/>
      <c r="D93" s="239"/>
      <c r="E93" s="40"/>
      <c r="F93" s="233"/>
      <c r="G93" s="40"/>
      <c r="H93" s="229"/>
      <c r="I93" s="40"/>
      <c r="J93" s="40"/>
      <c r="K93" s="233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2" t="s">
        <v>1</v>
      </c>
      <c r="B97" s="382" t="s">
        <v>2</v>
      </c>
      <c r="C97" s="382" t="s">
        <v>4</v>
      </c>
      <c r="D97" s="384" t="s">
        <v>5</v>
      </c>
      <c r="E97" s="384" t="s">
        <v>94</v>
      </c>
      <c r="F97" s="384" t="s">
        <v>60</v>
      </c>
      <c r="G97" s="382" t="s">
        <v>3</v>
      </c>
      <c r="H97" s="382" t="s">
        <v>6</v>
      </c>
      <c r="I97" s="384" t="s">
        <v>7</v>
      </c>
      <c r="J97" s="384" t="s">
        <v>95</v>
      </c>
      <c r="K97" s="384" t="s">
        <v>61</v>
      </c>
      <c r="L97" s="382" t="s">
        <v>37</v>
      </c>
      <c r="M97" s="382" t="s">
        <v>38</v>
      </c>
    </row>
    <row r="98" spans="1:13" x14ac:dyDescent="0.25">
      <c r="A98" s="385" t="s">
        <v>9</v>
      </c>
      <c r="B98" s="375">
        <v>42356</v>
      </c>
      <c r="C98" s="376">
        <v>250</v>
      </c>
      <c r="D98" s="377">
        <v>4.45</v>
      </c>
      <c r="E98" s="377">
        <v>0</v>
      </c>
      <c r="F98" s="377">
        <f>C98*D98+E98</f>
        <v>1112.5</v>
      </c>
      <c r="G98" s="375">
        <v>42398</v>
      </c>
      <c r="H98" s="380">
        <v>250</v>
      </c>
      <c r="I98" s="377">
        <v>4.5199999999999996</v>
      </c>
      <c r="J98" s="377">
        <v>0.02</v>
      </c>
      <c r="K98" s="377">
        <f>H98*I98-J98</f>
        <v>1129.98</v>
      </c>
      <c r="L98" s="376"/>
      <c r="M98" s="376"/>
    </row>
    <row r="99" spans="1:13" x14ac:dyDescent="0.25">
      <c r="A99" s="386"/>
      <c r="B99" s="375">
        <v>42382</v>
      </c>
      <c r="C99" s="376">
        <v>250</v>
      </c>
      <c r="D99" s="377">
        <v>4.25</v>
      </c>
      <c r="E99" s="377">
        <v>0</v>
      </c>
      <c r="F99" s="377">
        <f>C99*D99+E99</f>
        <v>1062.5</v>
      </c>
      <c r="G99" s="375">
        <v>42418</v>
      </c>
      <c r="H99" s="380">
        <v>250</v>
      </c>
      <c r="I99" s="377">
        <v>4.45</v>
      </c>
      <c r="J99" s="377">
        <v>0.02</v>
      </c>
      <c r="K99" s="377">
        <f>H99*I99-J99</f>
        <v>1112.48</v>
      </c>
      <c r="L99" s="376"/>
      <c r="M99" s="376"/>
    </row>
    <row r="100" spans="1:13" x14ac:dyDescent="0.25">
      <c r="A100" s="376"/>
      <c r="B100" s="375">
        <v>42402</v>
      </c>
      <c r="C100" s="376">
        <v>250</v>
      </c>
      <c r="D100" s="377">
        <v>4.3600000000000003</v>
      </c>
      <c r="E100" s="377">
        <v>0</v>
      </c>
      <c r="F100" s="377">
        <f>C100*D100+E100</f>
        <v>1090</v>
      </c>
      <c r="G100" s="375">
        <v>42436</v>
      </c>
      <c r="H100" s="380">
        <v>250</v>
      </c>
      <c r="I100" s="377">
        <v>5.83</v>
      </c>
      <c r="J100" s="377">
        <v>0.03</v>
      </c>
      <c r="K100" s="377">
        <f>H100*I100-J100</f>
        <v>1457.47</v>
      </c>
      <c r="L100" s="376"/>
      <c r="M100" s="376"/>
    </row>
    <row r="101" spans="1:13" x14ac:dyDescent="0.25">
      <c r="A101" s="376"/>
      <c r="B101" s="375"/>
      <c r="C101" s="376"/>
      <c r="D101" s="377"/>
      <c r="E101" s="377"/>
      <c r="F101" s="377"/>
      <c r="G101" s="376"/>
      <c r="H101" s="380"/>
      <c r="I101" s="377"/>
      <c r="J101" s="377"/>
      <c r="K101" s="377"/>
      <c r="L101" s="376"/>
      <c r="M101" s="376"/>
    </row>
    <row r="102" spans="1:13" x14ac:dyDescent="0.25">
      <c r="A102" s="376"/>
      <c r="B102" s="376"/>
      <c r="C102" s="376"/>
      <c r="D102" s="377"/>
      <c r="E102" s="377"/>
      <c r="F102" s="377"/>
      <c r="G102" s="376"/>
      <c r="H102" s="380"/>
      <c r="I102" s="377"/>
      <c r="J102" s="377"/>
      <c r="K102" s="377"/>
      <c r="L102" s="376"/>
      <c r="M102" s="376"/>
    </row>
    <row r="103" spans="1:13" x14ac:dyDescent="0.25">
      <c r="A103" s="376"/>
      <c r="B103" s="376"/>
      <c r="C103" s="376"/>
      <c r="D103" s="377"/>
      <c r="E103" s="377"/>
      <c r="F103" s="377"/>
      <c r="G103" s="376"/>
      <c r="H103" s="380"/>
      <c r="I103" s="377"/>
      <c r="J103" s="377"/>
      <c r="K103" s="377"/>
      <c r="L103" s="376"/>
      <c r="M103" s="376"/>
    </row>
    <row r="104" spans="1:13" x14ac:dyDescent="0.25">
      <c r="A104" s="376"/>
      <c r="B104" s="376"/>
      <c r="C104" s="376"/>
      <c r="D104" s="377"/>
      <c r="E104" s="377"/>
      <c r="F104" s="377"/>
      <c r="G104" s="376"/>
      <c r="H104" s="380"/>
      <c r="I104" s="377"/>
      <c r="J104" s="377"/>
      <c r="K104" s="377"/>
      <c r="L104" s="376"/>
      <c r="M104" s="376"/>
    </row>
    <row r="105" spans="1:13" x14ac:dyDescent="0.25">
      <c r="A105" s="376"/>
      <c r="B105" s="376"/>
      <c r="C105" s="376"/>
      <c r="D105" s="377"/>
      <c r="E105" s="377"/>
      <c r="F105" s="377"/>
      <c r="G105" s="376"/>
      <c r="H105" s="380"/>
      <c r="I105" s="377"/>
      <c r="J105" s="377"/>
      <c r="K105" s="377"/>
      <c r="L105" s="376"/>
      <c r="M105" s="376"/>
    </row>
    <row r="106" spans="1:13" x14ac:dyDescent="0.25">
      <c r="A106" s="376"/>
      <c r="B106" s="376"/>
      <c r="C106" s="376"/>
      <c r="D106" s="377"/>
      <c r="E106" s="377"/>
      <c r="F106" s="377"/>
      <c r="G106" s="376"/>
      <c r="H106" s="376"/>
      <c r="I106" s="377"/>
      <c r="J106" s="377"/>
      <c r="K106" s="377"/>
      <c r="L106" s="376"/>
      <c r="M106" s="376"/>
    </row>
    <row r="107" spans="1:13" x14ac:dyDescent="0.25">
      <c r="A107" s="376"/>
      <c r="B107" s="376"/>
      <c r="C107" s="376"/>
      <c r="D107" s="377"/>
      <c r="E107" s="377"/>
      <c r="F107" s="377"/>
      <c r="G107" s="376"/>
      <c r="H107" s="376"/>
      <c r="I107" s="377"/>
      <c r="J107" s="377"/>
      <c r="K107" s="377"/>
      <c r="L107" s="376"/>
      <c r="M107" s="376"/>
    </row>
    <row r="108" spans="1:13" x14ac:dyDescent="0.25">
      <c r="A108" s="376"/>
      <c r="B108" s="376"/>
      <c r="C108" s="376"/>
      <c r="D108" s="377"/>
      <c r="E108" s="377"/>
      <c r="F108" s="377"/>
      <c r="G108" s="376"/>
      <c r="H108" s="376"/>
      <c r="I108" s="377"/>
      <c r="J108" s="377"/>
      <c r="K108" s="377"/>
      <c r="L108" s="376"/>
      <c r="M108" s="376"/>
    </row>
    <row r="109" spans="1:13" x14ac:dyDescent="0.25">
      <c r="A109" s="376"/>
      <c r="B109" s="376"/>
      <c r="C109" s="376"/>
      <c r="D109" s="377"/>
      <c r="E109" s="377"/>
      <c r="F109" s="377"/>
      <c r="G109" s="376"/>
      <c r="H109" s="376"/>
      <c r="I109" s="377"/>
      <c r="J109" s="377"/>
      <c r="K109" s="377"/>
      <c r="L109" s="376"/>
      <c r="M109" s="376"/>
    </row>
    <row r="110" spans="1:13" x14ac:dyDescent="0.25">
      <c r="A110" s="376"/>
      <c r="B110" s="376"/>
      <c r="C110" s="376"/>
      <c r="D110" s="377"/>
      <c r="E110" s="377"/>
      <c r="F110" s="377"/>
      <c r="G110" s="376"/>
      <c r="H110" s="376"/>
      <c r="I110" s="377"/>
      <c r="J110" s="377"/>
      <c r="K110" s="377"/>
      <c r="L110" s="376"/>
      <c r="M110" s="376"/>
    </row>
    <row r="111" spans="1:13" x14ac:dyDescent="0.25">
      <c r="A111" s="376"/>
      <c r="B111" s="376"/>
      <c r="C111" s="376"/>
      <c r="D111" s="377"/>
      <c r="E111" s="377"/>
      <c r="F111" s="377"/>
      <c r="G111" s="376"/>
      <c r="H111" s="376"/>
      <c r="I111" s="377"/>
      <c r="J111" s="377"/>
      <c r="K111" s="377"/>
      <c r="L111" s="376"/>
      <c r="M111" s="376"/>
    </row>
    <row r="112" spans="1:13" x14ac:dyDescent="0.25">
      <c r="A112" s="376"/>
      <c r="B112" s="376"/>
      <c r="C112" s="376"/>
      <c r="D112" s="377"/>
      <c r="E112" s="377"/>
      <c r="F112" s="377"/>
      <c r="G112" s="376"/>
      <c r="H112" s="376"/>
      <c r="I112" s="377"/>
      <c r="J112" s="377"/>
      <c r="K112" s="377"/>
      <c r="L112" s="376"/>
      <c r="M112" s="376"/>
    </row>
    <row r="113" spans="1:13" x14ac:dyDescent="0.25">
      <c r="A113" s="376"/>
      <c r="B113" s="376"/>
      <c r="C113" s="376"/>
      <c r="D113" s="377"/>
      <c r="E113" s="377"/>
      <c r="F113" s="377"/>
      <c r="G113" s="376"/>
      <c r="H113" s="380"/>
      <c r="I113" s="377"/>
      <c r="J113" s="377"/>
      <c r="K113" s="377"/>
      <c r="L113" s="376"/>
      <c r="M113" s="376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8" t="s">
        <v>113</v>
      </c>
      <c r="C117" s="508" t="s">
        <v>146</v>
      </c>
      <c r="D117" s="509" t="s">
        <v>145</v>
      </c>
      <c r="E117" s="510" t="s">
        <v>147</v>
      </c>
      <c r="F117" s="511" t="s">
        <v>65</v>
      </c>
      <c r="G117" s="512" t="s">
        <v>151</v>
      </c>
      <c r="H117" s="511" t="s">
        <v>88</v>
      </c>
      <c r="I117" s="512" t="s">
        <v>154</v>
      </c>
    </row>
    <row r="118" spans="1:13" x14ac:dyDescent="0.25">
      <c r="B118" s="375">
        <v>42353</v>
      </c>
      <c r="C118" s="376">
        <v>250</v>
      </c>
      <c r="D118" s="513">
        <v>4.45</v>
      </c>
      <c r="E118" s="377">
        <v>4.45</v>
      </c>
      <c r="F118" s="377">
        <f>C118*(E118-D118)</f>
        <v>0</v>
      </c>
      <c r="G118" s="377">
        <f>D118*C118</f>
        <v>1112.5</v>
      </c>
      <c r="H118" s="379">
        <f>(E118-D118)/D118</f>
        <v>0</v>
      </c>
      <c r="I118" s="377"/>
    </row>
    <row r="119" spans="1:13" x14ac:dyDescent="0.25">
      <c r="B119" s="375">
        <v>42356</v>
      </c>
      <c r="C119" s="376">
        <v>250</v>
      </c>
      <c r="D119" s="513">
        <v>4.45</v>
      </c>
      <c r="E119" s="377">
        <v>4.79</v>
      </c>
      <c r="F119" s="377">
        <f>C119*(E119-D119)</f>
        <v>84.999999999999972</v>
      </c>
      <c r="G119" s="377">
        <f>D119*C119</f>
        <v>1112.5</v>
      </c>
      <c r="H119" s="379">
        <f>(E119-D119)/D119</f>
        <v>7.6404494382022431E-2</v>
      </c>
      <c r="I119" s="377"/>
    </row>
    <row r="120" spans="1:13" x14ac:dyDescent="0.25">
      <c r="B120" s="375">
        <v>42382</v>
      </c>
      <c r="C120" s="376">
        <v>500</v>
      </c>
      <c r="D120" s="513">
        <v>4.3499999999999996</v>
      </c>
      <c r="E120" s="377">
        <v>4.17</v>
      </c>
      <c r="F120" s="377">
        <f t="shared" ref="F120:F128" si="43">C120*(E120-D120)</f>
        <v>-89.999999999999858</v>
      </c>
      <c r="G120" s="377">
        <f t="shared" ref="G120:G128" si="44">D120*C120</f>
        <v>2175</v>
      </c>
      <c r="H120" s="379">
        <f t="shared" ref="H120:H128" si="45">(E120-D120)/D120</f>
        <v>-4.1379310344827523E-2</v>
      </c>
      <c r="I120" s="377"/>
    </row>
    <row r="121" spans="1:13" x14ac:dyDescent="0.25">
      <c r="B121" s="375">
        <v>42398</v>
      </c>
      <c r="C121" s="376">
        <v>250</v>
      </c>
      <c r="D121" s="513">
        <v>4.18</v>
      </c>
      <c r="E121" s="377">
        <v>4.5199999999999996</v>
      </c>
      <c r="F121" s="377">
        <f t="shared" si="43"/>
        <v>84.999999999999972</v>
      </c>
      <c r="G121" s="377">
        <f t="shared" si="44"/>
        <v>1045</v>
      </c>
      <c r="H121" s="379">
        <f t="shared" si="45"/>
        <v>8.1339712918660254E-2</v>
      </c>
      <c r="I121" s="377"/>
    </row>
    <row r="122" spans="1:13" x14ac:dyDescent="0.25">
      <c r="B122" s="375">
        <v>42402</v>
      </c>
      <c r="C122" s="376">
        <v>500</v>
      </c>
      <c r="D122" s="513">
        <v>4.2699999999999996</v>
      </c>
      <c r="E122" s="377">
        <v>4.3499999999999996</v>
      </c>
      <c r="F122" s="377">
        <f t="shared" si="43"/>
        <v>40.000000000000036</v>
      </c>
      <c r="G122" s="377">
        <f t="shared" si="44"/>
        <v>2135</v>
      </c>
      <c r="H122" s="379">
        <f t="shared" si="45"/>
        <v>1.8735362997658097E-2</v>
      </c>
      <c r="I122" s="377"/>
    </row>
    <row r="123" spans="1:13" x14ac:dyDescent="0.25">
      <c r="B123" s="375">
        <v>42403</v>
      </c>
      <c r="C123" s="376">
        <v>500</v>
      </c>
      <c r="D123" s="513">
        <v>4.2699999999999996</v>
      </c>
      <c r="E123" s="377">
        <v>4.5999999999999996</v>
      </c>
      <c r="F123" s="377">
        <f t="shared" si="43"/>
        <v>165.00000000000003</v>
      </c>
      <c r="G123" s="377">
        <f t="shared" si="44"/>
        <v>2135</v>
      </c>
      <c r="H123" s="379">
        <f t="shared" si="45"/>
        <v>7.7283372365339609E-2</v>
      </c>
      <c r="I123" s="377"/>
    </row>
    <row r="124" spans="1:13" x14ac:dyDescent="0.25">
      <c r="B124" s="375">
        <v>42418</v>
      </c>
      <c r="C124" s="376">
        <v>250</v>
      </c>
      <c r="D124" s="513">
        <v>4.09</v>
      </c>
      <c r="E124" s="377">
        <v>4.25</v>
      </c>
      <c r="F124" s="377">
        <f t="shared" si="43"/>
        <v>40.000000000000036</v>
      </c>
      <c r="G124" s="377">
        <f t="shared" si="44"/>
        <v>1022.5</v>
      </c>
      <c r="H124" s="379">
        <f t="shared" si="45"/>
        <v>3.911980440097803E-2</v>
      </c>
      <c r="I124" s="377"/>
    </row>
    <row r="125" spans="1:13" x14ac:dyDescent="0.25">
      <c r="B125" s="375">
        <v>42421</v>
      </c>
      <c r="C125" s="376">
        <v>250</v>
      </c>
      <c r="D125" s="513">
        <v>4.09</v>
      </c>
      <c r="E125" s="377">
        <v>4.4400000000000004</v>
      </c>
      <c r="F125" s="377">
        <f t="shared" si="43"/>
        <v>87.500000000000128</v>
      </c>
      <c r="G125" s="377">
        <f t="shared" si="44"/>
        <v>1022.5</v>
      </c>
      <c r="H125" s="379">
        <f t="shared" si="45"/>
        <v>8.5574572127139495E-2</v>
      </c>
      <c r="I125" s="377"/>
    </row>
    <row r="126" spans="1:13" x14ac:dyDescent="0.25">
      <c r="B126" s="375">
        <v>42424</v>
      </c>
      <c r="C126" s="376">
        <v>250</v>
      </c>
      <c r="D126" s="513">
        <v>4.09</v>
      </c>
      <c r="E126" s="377">
        <v>5.3</v>
      </c>
      <c r="F126" s="377">
        <f t="shared" si="43"/>
        <v>302.5</v>
      </c>
      <c r="G126" s="377">
        <f t="shared" si="44"/>
        <v>1022.5</v>
      </c>
      <c r="H126" s="379">
        <f t="shared" si="45"/>
        <v>0.29584352078239606</v>
      </c>
      <c r="I126" s="377"/>
    </row>
    <row r="127" spans="1:13" x14ac:dyDescent="0.25">
      <c r="B127" s="375">
        <v>42430</v>
      </c>
      <c r="C127" s="376">
        <v>250</v>
      </c>
      <c r="D127" s="513">
        <v>4.09</v>
      </c>
      <c r="E127" s="377">
        <v>5.47</v>
      </c>
      <c r="F127" s="464">
        <f t="shared" si="43"/>
        <v>345</v>
      </c>
      <c r="G127" s="377">
        <f t="shared" si="44"/>
        <v>1022.5</v>
      </c>
      <c r="H127" s="379">
        <f t="shared" si="45"/>
        <v>0.33740831295843521</v>
      </c>
      <c r="I127" s="377"/>
    </row>
    <row r="128" spans="1:13" x14ac:dyDescent="0.25">
      <c r="B128" s="375">
        <v>42431</v>
      </c>
      <c r="C128" s="376">
        <v>250</v>
      </c>
      <c r="D128" s="513">
        <v>4.09</v>
      </c>
      <c r="E128" s="377">
        <v>5.63</v>
      </c>
      <c r="F128" s="464">
        <f t="shared" si="43"/>
        <v>385</v>
      </c>
      <c r="G128" s="377">
        <f t="shared" si="44"/>
        <v>1022.5</v>
      </c>
      <c r="H128" s="379">
        <f t="shared" si="45"/>
        <v>0.37652811735941322</v>
      </c>
      <c r="I128" s="377"/>
    </row>
    <row r="129" spans="2:9" x14ac:dyDescent="0.25">
      <c r="B129" s="375">
        <v>42436</v>
      </c>
      <c r="C129" s="376">
        <v>0</v>
      </c>
      <c r="D129" s="513"/>
      <c r="E129" s="377">
        <v>5.79</v>
      </c>
      <c r="F129" s="464">
        <v>434.93</v>
      </c>
      <c r="G129" s="377"/>
      <c r="H129" s="379"/>
      <c r="I129" s="37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2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2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1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59">
        <f>AC2/AC3-1</f>
        <v>-7.6142131979696215E-3</v>
      </c>
    </row>
    <row r="3" spans="1:40" x14ac:dyDescent="0.25">
      <c r="A3" s="23" t="s">
        <v>71</v>
      </c>
      <c r="B3" s="45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2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7">
        <f>(F31-K31-M31)/Q2</f>
        <v>78.535400000000024</v>
      </c>
      <c r="W3" s="131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59">
        <f t="shared" ref="AE3:AE66" si="2">AC3/AC4-1</f>
        <v>-1.788375558867239E-3</v>
      </c>
      <c r="AN3" s="231"/>
    </row>
    <row r="4" spans="1:40" x14ac:dyDescent="0.25">
      <c r="B4" s="45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2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29">
        <v>73.12</v>
      </c>
      <c r="R4" s="497">
        <v>4.3E-3</v>
      </c>
      <c r="W4" s="131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59">
        <f t="shared" si="2"/>
        <v>-1.2073027090695021E-2</v>
      </c>
    </row>
    <row r="5" spans="1:40" x14ac:dyDescent="0.25">
      <c r="B5" s="45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2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14624</v>
      </c>
      <c r="T5" s="1"/>
      <c r="W5" s="131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59">
        <f t="shared" si="2"/>
        <v>5.7752110173256987E-3</v>
      </c>
      <c r="AK5" s="231"/>
      <c r="AN5" s="231"/>
    </row>
    <row r="6" spans="1:40" x14ac:dyDescent="0.25">
      <c r="B6" s="45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2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15707.080000000005</v>
      </c>
      <c r="W6" s="131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59">
        <f t="shared" si="2"/>
        <v>4.014272970561894E-3</v>
      </c>
    </row>
    <row r="7" spans="1:40" x14ac:dyDescent="0.25">
      <c r="B7" s="45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1"/>
      <c r="H7" s="7"/>
      <c r="I7" s="7"/>
      <c r="J7" s="7"/>
      <c r="K7" s="7"/>
      <c r="L7" s="1">
        <v>42734</v>
      </c>
      <c r="M7" s="3">
        <v>117.5</v>
      </c>
      <c r="O7" s="11" t="s">
        <v>179</v>
      </c>
      <c r="Q7" s="2">
        <f>Q10+Q8</f>
        <v>-1083.0800000000017</v>
      </c>
      <c r="R7">
        <v>200</v>
      </c>
      <c r="W7" s="131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59">
        <f t="shared" si="2"/>
        <v>2.3845007451566147E-3</v>
      </c>
    </row>
    <row r="8" spans="1:40" x14ac:dyDescent="0.25">
      <c r="B8" s="45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1"/>
      <c r="H8" s="81"/>
      <c r="I8" s="7"/>
      <c r="J8" s="7"/>
      <c r="K8" s="7"/>
      <c r="L8" s="1">
        <v>42824</v>
      </c>
      <c r="M8" s="3">
        <v>130</v>
      </c>
      <c r="O8" s="11" t="s">
        <v>181</v>
      </c>
      <c r="P8" s="34"/>
      <c r="Q8" s="2">
        <f>K31+M31-F31+Q2*Q4</f>
        <v>-1083.0800000000017</v>
      </c>
      <c r="T8" s="1"/>
      <c r="W8" s="131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59">
        <f t="shared" si="2"/>
        <v>-5.9259259259260011E-3</v>
      </c>
    </row>
    <row r="9" spans="1:40" x14ac:dyDescent="0.25">
      <c r="A9" s="418"/>
      <c r="B9" s="45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1"/>
      <c r="H9" s="7"/>
      <c r="I9" s="7"/>
      <c r="J9" s="7"/>
      <c r="K9" s="7"/>
      <c r="L9" s="1">
        <v>42916</v>
      </c>
      <c r="M9" s="3">
        <v>130</v>
      </c>
      <c r="O9" s="11" t="s">
        <v>211</v>
      </c>
      <c r="Q9" s="135">
        <f>IF(Q2=0, 0, Q8/Q6)</f>
        <v>-6.8954891679421093E-2</v>
      </c>
      <c r="W9" s="131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59">
        <f t="shared" si="2"/>
        <v>-1.4812620352544492E-4</v>
      </c>
    </row>
    <row r="10" spans="1:40" x14ac:dyDescent="0.25">
      <c r="A10" s="418" t="s">
        <v>213</v>
      </c>
      <c r="B10" s="45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1"/>
      <c r="H10" s="7"/>
      <c r="I10" s="7"/>
      <c r="J10" s="7"/>
      <c r="K10" s="7"/>
      <c r="O10" s="11" t="s">
        <v>210</v>
      </c>
      <c r="P10" s="34"/>
      <c r="Q10" s="2">
        <f>M62</f>
        <v>0</v>
      </c>
      <c r="W10" s="131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59">
        <f t="shared" si="2"/>
        <v>2.9634019854807292E-4</v>
      </c>
    </row>
    <row r="11" spans="1:40" x14ac:dyDescent="0.25">
      <c r="A11" s="418">
        <v>92.64</v>
      </c>
      <c r="B11" s="45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2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176</v>
      </c>
      <c r="P11" s="34"/>
      <c r="Q11" s="135">
        <f>VALUE(TRIM(CLEAN(MID(U58, FIND("(", U58)+1, 5))))</f>
        <v>3.0599999999999999E-2</v>
      </c>
      <c r="W11" s="131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59">
        <f t="shared" si="2"/>
        <v>-5.0125313283208017E-3</v>
      </c>
    </row>
    <row r="12" spans="1:40" x14ac:dyDescent="0.25">
      <c r="B12" s="45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2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1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59">
        <f t="shared" si="2"/>
        <v>1.3286093888398298E-3</v>
      </c>
    </row>
    <row r="13" spans="1:40" x14ac:dyDescent="0.25">
      <c r="B13" s="452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2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1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59">
        <f t="shared" si="2"/>
        <v>-1.4117304613593396E-2</v>
      </c>
    </row>
    <row r="14" spans="1:40" x14ac:dyDescent="0.25">
      <c r="B14" s="452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2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1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59">
        <f t="shared" si="2"/>
        <v>-5.068056762235873E-3</v>
      </c>
    </row>
    <row r="15" spans="1:40" x14ac:dyDescent="0.25">
      <c r="B15" s="45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2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1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59">
        <f t="shared" si="2"/>
        <v>7.5868106215348785E-3</v>
      </c>
    </row>
    <row r="16" spans="1:40" x14ac:dyDescent="0.25">
      <c r="B16" s="45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2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1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59">
        <f t="shared" si="2"/>
        <v>1.0223455527968994E-3</v>
      </c>
    </row>
    <row r="17" spans="1:31" x14ac:dyDescent="0.25">
      <c r="B17" s="452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2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1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59">
        <f t="shared" si="2"/>
        <v>1.032905415375529E-2</v>
      </c>
    </row>
    <row r="18" spans="1:31" x14ac:dyDescent="0.25">
      <c r="B18" s="452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2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1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59" t="e">
        <f t="shared" si="2"/>
        <v>#DIV/0!</v>
      </c>
    </row>
    <row r="19" spans="1:31" x14ac:dyDescent="0.25">
      <c r="B19" s="45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2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1">
        <v>42808</v>
      </c>
      <c r="X19" s="10" t="s">
        <v>534</v>
      </c>
      <c r="Y19" s="10"/>
      <c r="Z19" s="10"/>
      <c r="AA19" s="10"/>
      <c r="AB19" s="94"/>
      <c r="AC19" s="10"/>
      <c r="AD19" s="40">
        <f t="shared" si="1"/>
        <v>0</v>
      </c>
      <c r="AE19" s="159">
        <f t="shared" si="2"/>
        <v>-1</v>
      </c>
    </row>
    <row r="20" spans="1:31" x14ac:dyDescent="0.25">
      <c r="B20" s="452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2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1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59">
        <f t="shared" si="2"/>
        <v>-1.329983744643215E-3</v>
      </c>
    </row>
    <row r="21" spans="1:31" x14ac:dyDescent="0.25">
      <c r="B21" s="452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2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1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59">
        <f t="shared" si="2"/>
        <v>-2.9468100780905004E-3</v>
      </c>
    </row>
    <row r="22" spans="1:31" x14ac:dyDescent="0.25">
      <c r="B22" s="452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2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1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59">
        <f t="shared" si="2"/>
        <v>-1.8794274974699987E-2</v>
      </c>
    </row>
    <row r="23" spans="1:31" x14ac:dyDescent="0.25">
      <c r="B23" s="452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H23" s="182"/>
      <c r="I23" s="3"/>
      <c r="J23" s="3"/>
      <c r="K23" s="3"/>
      <c r="W23" s="131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59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1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59">
        <f t="shared" si="2"/>
        <v>-1.5665421098016719E-2</v>
      </c>
    </row>
    <row r="25" spans="1:31" x14ac:dyDescent="0.25">
      <c r="B25" s="73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W25" s="131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59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1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59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1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59">
        <f t="shared" si="2"/>
        <v>4.8815506101935746E-3</v>
      </c>
    </row>
    <row r="28" spans="1:31" x14ac:dyDescent="0.25">
      <c r="C28" s="4"/>
      <c r="W28" s="131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59">
        <f t="shared" si="2"/>
        <v>-4.1464112096081251E-3</v>
      </c>
    </row>
    <row r="29" spans="1:31" x14ac:dyDescent="0.25">
      <c r="W29" s="131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59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1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59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725</v>
      </c>
      <c r="I31" s="12"/>
      <c r="J31" s="12"/>
      <c r="K31" s="13">
        <f>SUM(K2:K30)</f>
        <v>56475.319999999992</v>
      </c>
      <c r="L31" s="12"/>
      <c r="M31" s="13">
        <f>SUM(M2:M30)</f>
        <v>565.79999999999995</v>
      </c>
      <c r="W31" s="131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59">
        <f t="shared" si="2"/>
        <v>8.2800697269027612E-3</v>
      </c>
    </row>
    <row r="32" spans="1:31" ht="15.75" thickBot="1" x14ac:dyDescent="0.3">
      <c r="A32" s="351" t="s">
        <v>195</v>
      </c>
      <c r="B32" s="352"/>
      <c r="C32" s="353">
        <f>SumByColor($A$32,C2:C30)</f>
        <v>725</v>
      </c>
      <c r="D32" s="353"/>
      <c r="E32" s="353"/>
      <c r="F32" s="354">
        <f>SumByColor($A$32,F2:F30)</f>
        <v>56190</v>
      </c>
      <c r="G32" s="353"/>
      <c r="H32" s="353">
        <f>SumByColor($A$32,H2:H30)</f>
        <v>725</v>
      </c>
      <c r="I32" s="353"/>
      <c r="J32" s="353"/>
      <c r="K32" s="354">
        <f>SumByColor($A$32,K2:K30)</f>
        <v>56474</v>
      </c>
      <c r="L32" s="353"/>
      <c r="M32" s="354">
        <f>SumByColor($A$32,M2:M30)</f>
        <v>0</v>
      </c>
      <c r="W32" s="131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59">
        <f t="shared" si="2"/>
        <v>7.906295754026349E-3</v>
      </c>
    </row>
    <row r="33" spans="1:31" x14ac:dyDescent="0.25">
      <c r="W33" s="131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59">
        <f t="shared" si="2"/>
        <v>-6.6899360093078952E-3</v>
      </c>
    </row>
    <row r="34" spans="1:31" x14ac:dyDescent="0.25">
      <c r="W34" s="131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59">
        <f t="shared" si="2"/>
        <v>-8.0784766301209565E-3</v>
      </c>
    </row>
    <row r="35" spans="1:31" x14ac:dyDescent="0.25">
      <c r="W35" s="131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59">
        <f t="shared" si="2"/>
        <v>-6.4497635086714356E-3</v>
      </c>
    </row>
    <row r="36" spans="1:31" x14ac:dyDescent="0.25">
      <c r="W36" s="131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59">
        <f t="shared" si="2"/>
        <v>7.2181319474520222E-3</v>
      </c>
    </row>
    <row r="37" spans="1:31" x14ac:dyDescent="0.25">
      <c r="W37" s="131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59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1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59">
        <f t="shared" si="2"/>
        <v>-1.4896469536719303E-3</v>
      </c>
    </row>
    <row r="39" spans="1:31" x14ac:dyDescent="0.25">
      <c r="A39" s="8"/>
      <c r="B39" s="188" t="s">
        <v>113</v>
      </c>
      <c r="C39" s="188" t="s">
        <v>146</v>
      </c>
      <c r="D39" s="189" t="s">
        <v>145</v>
      </c>
      <c r="E39" s="191" t="s">
        <v>147</v>
      </c>
      <c r="F39" s="192" t="s">
        <v>65</v>
      </c>
      <c r="G39" s="226" t="s">
        <v>151</v>
      </c>
      <c r="H39" s="192" t="s">
        <v>88</v>
      </c>
      <c r="I39" s="192" t="s">
        <v>154</v>
      </c>
      <c r="J39" s="676" t="s">
        <v>530</v>
      </c>
      <c r="K39" s="676" t="s">
        <v>150</v>
      </c>
      <c r="L39" s="8"/>
      <c r="M39" s="8"/>
      <c r="W39" s="131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59">
        <f t="shared" si="2"/>
        <v>1.9438116932422256E-2</v>
      </c>
    </row>
    <row r="40" spans="1:31" x14ac:dyDescent="0.25">
      <c r="B40" s="190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8">
        <f>(E40-D40)/D40</f>
        <v>8.5714285714285618E-2</v>
      </c>
      <c r="I40" s="348"/>
      <c r="J40" s="10"/>
      <c r="K40" s="10"/>
      <c r="W40" s="131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59">
        <f t="shared" si="2"/>
        <v>1.1676140728222428E-2</v>
      </c>
    </row>
    <row r="41" spans="1:31" x14ac:dyDescent="0.25">
      <c r="B41" s="190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8">
        <f t="shared" ref="H41:H49" si="6">(E41-D41)/D41</f>
        <v>4.070450097847355E-2</v>
      </c>
      <c r="I41" s="348"/>
      <c r="J41" s="10"/>
      <c r="K41" s="10"/>
      <c r="W41" s="131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59">
        <f t="shared" si="2"/>
        <v>-1.8546441495777888E-2</v>
      </c>
    </row>
    <row r="42" spans="1:31" ht="20.25" thickBot="1" x14ac:dyDescent="0.35">
      <c r="B42" s="190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8">
        <f t="shared" si="6"/>
        <v>-2.1232876712328784E-2</v>
      </c>
      <c r="I42" s="348"/>
      <c r="J42" s="10"/>
      <c r="K42" s="10"/>
      <c r="O42" s="716" t="s">
        <v>78</v>
      </c>
      <c r="P42" s="716"/>
      <c r="T42" s="90" t="s">
        <v>112</v>
      </c>
      <c r="W42" s="131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59">
        <f t="shared" si="2"/>
        <v>-8.6123742593358199E-2</v>
      </c>
    </row>
    <row r="43" spans="1:31" ht="15.75" thickTop="1" x14ac:dyDescent="0.25">
      <c r="B43" s="190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8">
        <f t="shared" si="6"/>
        <v>6.4579256360077939E-3</v>
      </c>
      <c r="I43" s="348"/>
      <c r="J43" s="10"/>
      <c r="K43" s="10"/>
      <c r="O43" s="82">
        <v>1.1000000000000001</v>
      </c>
      <c r="P43" s="82">
        <f>O43*$Q$4</f>
        <v>80.432000000000016</v>
      </c>
      <c r="Q43" s="2"/>
      <c r="T43" s="126" t="s">
        <v>97</v>
      </c>
      <c r="U43" s="97">
        <v>66.98</v>
      </c>
      <c r="W43" s="131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59">
        <f t="shared" si="2"/>
        <v>1.0161469933184675E-2</v>
      </c>
    </row>
    <row r="44" spans="1:31" x14ac:dyDescent="0.25">
      <c r="B44" s="190">
        <v>42376</v>
      </c>
      <c r="C44" s="437">
        <v>50</v>
      </c>
      <c r="D44" s="441">
        <v>99.13</v>
      </c>
      <c r="E44" s="335">
        <v>96.25</v>
      </c>
      <c r="F44" s="40">
        <f t="shared" si="4"/>
        <v>-143.99999999999977</v>
      </c>
      <c r="G44" s="40">
        <f t="shared" si="5"/>
        <v>4956.5</v>
      </c>
      <c r="H44" s="228">
        <f t="shared" si="6"/>
        <v>-2.9052759003328918E-2</v>
      </c>
      <c r="I44" s="348"/>
      <c r="J44" s="10"/>
      <c r="K44" s="10"/>
      <c r="O44" s="82">
        <v>1.0900000000000001</v>
      </c>
      <c r="P44" s="82">
        <f t="shared" ref="P44:P63" si="7">O44*$Q$4</f>
        <v>79.700800000000015</v>
      </c>
      <c r="Q44" s="2"/>
      <c r="T44" s="92" t="s">
        <v>98</v>
      </c>
      <c r="U44" s="87">
        <v>67.05</v>
      </c>
      <c r="W44" s="131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59">
        <f t="shared" si="2"/>
        <v>6.9647583228849008E-4</v>
      </c>
    </row>
    <row r="45" spans="1:31" x14ac:dyDescent="0.25">
      <c r="B45" s="190">
        <v>42402</v>
      </c>
      <c r="C45" s="279">
        <v>60</v>
      </c>
      <c r="D45" s="335">
        <v>96.37</v>
      </c>
      <c r="E45" s="335">
        <v>82.71</v>
      </c>
      <c r="F45" s="40">
        <f t="shared" si="4"/>
        <v>-819.60000000000059</v>
      </c>
      <c r="G45" s="40">
        <f t="shared" si="5"/>
        <v>5782.2000000000007</v>
      </c>
      <c r="H45" s="228">
        <f t="shared" si="6"/>
        <v>-0.14174535643872585</v>
      </c>
      <c r="I45" s="348"/>
      <c r="J45" s="10"/>
      <c r="K45" s="10"/>
      <c r="O45" s="82">
        <v>1.08</v>
      </c>
      <c r="P45" s="82">
        <f t="shared" si="7"/>
        <v>78.969600000000014</v>
      </c>
      <c r="Q45" s="2"/>
      <c r="T45" s="92" t="s">
        <v>99</v>
      </c>
      <c r="U45" s="87" t="s">
        <v>717</v>
      </c>
      <c r="W45" s="131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59">
        <f t="shared" si="2"/>
        <v>1.255230125523088E-3</v>
      </c>
    </row>
    <row r="46" spans="1:31" x14ac:dyDescent="0.25">
      <c r="B46" s="190">
        <v>42409</v>
      </c>
      <c r="C46" s="279">
        <v>50</v>
      </c>
      <c r="D46" s="335">
        <v>98.03</v>
      </c>
      <c r="E46" s="335">
        <v>87.25</v>
      </c>
      <c r="F46" s="40">
        <f t="shared" si="4"/>
        <v>-539</v>
      </c>
      <c r="G46" s="40">
        <f t="shared" si="5"/>
        <v>4901.5</v>
      </c>
      <c r="H46" s="228">
        <f t="shared" si="6"/>
        <v>-0.10996633683566256</v>
      </c>
      <c r="I46" s="348"/>
      <c r="J46" s="10"/>
      <c r="K46" s="10"/>
      <c r="O46" s="82">
        <v>1.07</v>
      </c>
      <c r="P46" s="82">
        <f t="shared" si="7"/>
        <v>78.238400000000013</v>
      </c>
      <c r="Q46" s="2"/>
      <c r="T46" s="92" t="s">
        <v>100</v>
      </c>
      <c r="U46" s="87" t="s">
        <v>718</v>
      </c>
      <c r="W46" s="131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59">
        <f t="shared" si="2"/>
        <v>-7.7497924162746035E-3</v>
      </c>
    </row>
    <row r="47" spans="1:31" x14ac:dyDescent="0.25">
      <c r="B47" s="190">
        <v>42426</v>
      </c>
      <c r="C47" s="279">
        <v>70</v>
      </c>
      <c r="D47" s="335">
        <v>95.18</v>
      </c>
      <c r="E47" s="335">
        <v>88.03</v>
      </c>
      <c r="F47" s="40">
        <f t="shared" si="4"/>
        <v>-500.5000000000004</v>
      </c>
      <c r="G47" s="40">
        <f t="shared" si="5"/>
        <v>6662.6</v>
      </c>
      <c r="H47" s="229">
        <f t="shared" si="6"/>
        <v>-7.5120823702458553E-2</v>
      </c>
      <c r="I47" s="349"/>
      <c r="J47" s="10"/>
      <c r="K47" s="10"/>
      <c r="O47" s="82">
        <v>1.06</v>
      </c>
      <c r="P47" s="82">
        <f t="shared" si="7"/>
        <v>77.507200000000012</v>
      </c>
      <c r="Q47" s="2"/>
      <c r="T47" s="92" t="s">
        <v>101</v>
      </c>
      <c r="U47" s="87">
        <v>79.099999999999994</v>
      </c>
      <c r="W47" s="131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59">
        <f t="shared" si="2"/>
        <v>5.0069541029207354E-3</v>
      </c>
    </row>
    <row r="48" spans="1:31" x14ac:dyDescent="0.25">
      <c r="B48" s="190">
        <v>42430</v>
      </c>
      <c r="C48" s="279">
        <v>70</v>
      </c>
      <c r="D48" s="335">
        <v>95.18</v>
      </c>
      <c r="E48" s="335">
        <v>89.69</v>
      </c>
      <c r="F48" s="40">
        <f t="shared" si="4"/>
        <v>-384.30000000000064</v>
      </c>
      <c r="G48" s="40">
        <f t="shared" si="5"/>
        <v>6662.6</v>
      </c>
      <c r="H48" s="229">
        <f t="shared" si="6"/>
        <v>-5.7680184912796896E-2</v>
      </c>
      <c r="I48" s="349"/>
      <c r="J48" s="10"/>
      <c r="K48" s="10"/>
      <c r="O48" s="82">
        <v>1.05</v>
      </c>
      <c r="P48" s="82">
        <f t="shared" si="7"/>
        <v>76.77600000000001</v>
      </c>
      <c r="Q48" s="2"/>
      <c r="T48" s="92" t="s">
        <v>102</v>
      </c>
      <c r="U48" s="87">
        <v>0.98934999999999995</v>
      </c>
      <c r="W48" s="131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59">
        <f t="shared" si="2"/>
        <v>1.3246899661781386E-2</v>
      </c>
    </row>
    <row r="49" spans="2:31" x14ac:dyDescent="0.25">
      <c r="B49" s="190">
        <v>42431</v>
      </c>
      <c r="C49" s="279">
        <v>70</v>
      </c>
      <c r="D49" s="335">
        <v>95.18</v>
      </c>
      <c r="E49" s="335">
        <v>88.8</v>
      </c>
      <c r="F49" s="40">
        <f t="shared" si="4"/>
        <v>-446.6000000000007</v>
      </c>
      <c r="G49" s="40">
        <f t="shared" si="5"/>
        <v>6662.6</v>
      </c>
      <c r="H49" s="229">
        <f t="shared" si="6"/>
        <v>-6.7030888842193839E-2</v>
      </c>
      <c r="I49" s="349"/>
      <c r="J49" s="10"/>
      <c r="K49" s="10"/>
      <c r="O49" s="82">
        <v>1.04</v>
      </c>
      <c r="P49" s="82">
        <f t="shared" si="7"/>
        <v>76.044800000000009</v>
      </c>
      <c r="Q49" s="2"/>
      <c r="T49" s="92" t="s">
        <v>103</v>
      </c>
      <c r="U49" s="87" t="s">
        <v>599</v>
      </c>
      <c r="W49" s="131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59">
        <f t="shared" si="2"/>
        <v>3.3936651583710287E-3</v>
      </c>
    </row>
    <row r="50" spans="2:31" x14ac:dyDescent="0.25">
      <c r="B50" s="190">
        <v>42445</v>
      </c>
      <c r="C50" s="279">
        <v>70</v>
      </c>
      <c r="D50" s="335">
        <v>95.176000000000002</v>
      </c>
      <c r="E50" s="335">
        <v>90.28</v>
      </c>
      <c r="F50" s="40">
        <f>C50*(E50-D50)</f>
        <v>-342.72</v>
      </c>
      <c r="G50" s="40">
        <f t="shared" ref="G50:G67" si="8">D50*C50</f>
        <v>6662.32</v>
      </c>
      <c r="H50" s="229">
        <f t="shared" ref="H50:H67" si="9">(E50-D50)/D50</f>
        <v>-5.1441539884004378E-2</v>
      </c>
      <c r="I50" s="349"/>
      <c r="J50" s="10"/>
      <c r="K50" s="10"/>
      <c r="O50" s="82">
        <v>1.03</v>
      </c>
      <c r="P50" s="82">
        <f t="shared" si="7"/>
        <v>75.313600000000008</v>
      </c>
      <c r="Q50" s="2"/>
      <c r="T50" s="92"/>
      <c r="U50" s="87"/>
      <c r="W50" s="131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59">
        <f t="shared" si="2"/>
        <v>5.6593095642321067E-4</v>
      </c>
    </row>
    <row r="51" spans="2:31" x14ac:dyDescent="0.25">
      <c r="B51" s="190">
        <v>42447</v>
      </c>
      <c r="C51" s="279">
        <v>50</v>
      </c>
      <c r="D51" s="335">
        <v>97.010999999999996</v>
      </c>
      <c r="E51" s="335">
        <v>90.59</v>
      </c>
      <c r="F51" s="40">
        <f>C51*(E51-D51)</f>
        <v>-321.04999999999961</v>
      </c>
      <c r="G51" s="40">
        <f t="shared" si="8"/>
        <v>4850.55</v>
      </c>
      <c r="H51" s="229">
        <f t="shared" si="9"/>
        <v>-6.6188370390986517E-2</v>
      </c>
      <c r="I51" s="349"/>
      <c r="J51" s="10"/>
      <c r="K51" s="10"/>
      <c r="O51" s="82">
        <v>1.02</v>
      </c>
      <c r="P51" s="82">
        <f t="shared" si="7"/>
        <v>74.582400000000007</v>
      </c>
      <c r="Q51" s="2"/>
      <c r="T51" s="92" t="s">
        <v>104</v>
      </c>
      <c r="U51" s="87" t="s">
        <v>719</v>
      </c>
      <c r="W51" s="131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59">
        <f t="shared" si="2"/>
        <v>-9.5291479820627245E-3</v>
      </c>
    </row>
    <row r="52" spans="2:31" x14ac:dyDescent="0.25">
      <c r="B52" s="190">
        <v>42452</v>
      </c>
      <c r="C52" s="279">
        <v>50</v>
      </c>
      <c r="D52" s="335">
        <v>97.010999999999996</v>
      </c>
      <c r="E52" s="335">
        <v>93.72</v>
      </c>
      <c r="F52" s="40">
        <f>C52*(E52-D52)</f>
        <v>-164.54999999999984</v>
      </c>
      <c r="G52" s="40">
        <f t="shared" si="8"/>
        <v>4850.55</v>
      </c>
      <c r="H52" s="229">
        <f t="shared" si="9"/>
        <v>-3.3923988001360636E-2</v>
      </c>
      <c r="I52" s="349"/>
      <c r="J52" s="10"/>
      <c r="K52" s="10"/>
      <c r="O52" s="82">
        <v>1.01</v>
      </c>
      <c r="P52" s="82">
        <f t="shared" si="7"/>
        <v>73.851200000000006</v>
      </c>
      <c r="Q52" s="2"/>
      <c r="T52" s="92" t="s">
        <v>105</v>
      </c>
      <c r="U52" s="87" t="s">
        <v>435</v>
      </c>
      <c r="W52" s="131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59">
        <f t="shared" si="2"/>
        <v>2.3669487878353213E-2</v>
      </c>
    </row>
    <row r="53" spans="2:31" x14ac:dyDescent="0.25">
      <c r="B53" s="190">
        <v>42459</v>
      </c>
      <c r="C53" s="279">
        <v>50</v>
      </c>
      <c r="D53" s="335">
        <v>96.409000000000006</v>
      </c>
      <c r="E53" s="335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29">
        <f t="shared" si="9"/>
        <v>-4.604341918285644E-2</v>
      </c>
      <c r="I53" s="349" t="s">
        <v>186</v>
      </c>
      <c r="J53" s="10"/>
      <c r="K53" s="10"/>
      <c r="O53" s="82">
        <v>1</v>
      </c>
      <c r="P53" s="82">
        <f t="shared" si="7"/>
        <v>73.12</v>
      </c>
      <c r="Q53" s="2"/>
      <c r="T53" s="92" t="s">
        <v>106</v>
      </c>
      <c r="U53" s="89">
        <v>7113649</v>
      </c>
      <c r="W53" s="131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59">
        <f t="shared" si="2"/>
        <v>-6.2722736992161243E-3</v>
      </c>
    </row>
    <row r="54" spans="2:31" x14ac:dyDescent="0.25">
      <c r="B54" s="190">
        <v>42469</v>
      </c>
      <c r="C54" s="279">
        <v>50</v>
      </c>
      <c r="D54" s="335">
        <v>96.409000000000006</v>
      </c>
      <c r="E54" s="335">
        <v>96.09</v>
      </c>
      <c r="F54" s="40">
        <f t="shared" si="10"/>
        <v>-15.950000000000131</v>
      </c>
      <c r="G54" s="40">
        <f t="shared" si="8"/>
        <v>4820.4500000000007</v>
      </c>
      <c r="H54" s="229">
        <f t="shared" si="9"/>
        <v>-3.3088197160016449E-3</v>
      </c>
      <c r="I54" s="349"/>
      <c r="J54" s="10"/>
      <c r="K54" s="10"/>
      <c r="O54" s="82">
        <v>0.99</v>
      </c>
      <c r="P54" s="82">
        <f t="shared" si="7"/>
        <v>72.388800000000003</v>
      </c>
      <c r="Q54" s="2"/>
      <c r="T54" s="92" t="s">
        <v>109</v>
      </c>
      <c r="U54" s="89">
        <v>10291100</v>
      </c>
      <c r="W54" s="131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59">
        <f t="shared" si="2"/>
        <v>-4.5409394068396391E-3</v>
      </c>
    </row>
    <row r="55" spans="2:31" x14ac:dyDescent="0.25">
      <c r="B55" s="190">
        <v>42475</v>
      </c>
      <c r="C55" s="279">
        <v>50</v>
      </c>
      <c r="D55" s="335">
        <v>96.409000000000006</v>
      </c>
      <c r="E55" s="335">
        <v>98.29</v>
      </c>
      <c r="F55" s="40">
        <f t="shared" si="10"/>
        <v>94.050000000000011</v>
      </c>
      <c r="G55" s="40">
        <f t="shared" si="8"/>
        <v>4820.4500000000007</v>
      </c>
      <c r="H55" s="229">
        <f t="shared" si="9"/>
        <v>1.951062660125092E-2</v>
      </c>
      <c r="I55" s="349"/>
      <c r="J55" s="10"/>
      <c r="K55" s="10"/>
      <c r="O55" s="82">
        <v>0.98</v>
      </c>
      <c r="P55" s="82">
        <f t="shared" si="7"/>
        <v>71.657600000000002</v>
      </c>
      <c r="Q55" s="2"/>
      <c r="T55" s="92" t="s">
        <v>107</v>
      </c>
      <c r="U55" s="87" t="s">
        <v>720</v>
      </c>
      <c r="W55" s="131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59">
        <f t="shared" si="2"/>
        <v>-7.7442973810193383E-3</v>
      </c>
    </row>
    <row r="56" spans="2:31" x14ac:dyDescent="0.25">
      <c r="B56" s="190">
        <v>42478</v>
      </c>
      <c r="C56" s="279">
        <v>25</v>
      </c>
      <c r="D56" s="335">
        <v>93.37</v>
      </c>
      <c r="E56" s="335">
        <v>99.2</v>
      </c>
      <c r="F56" s="40">
        <f t="shared" si="10"/>
        <v>145.74999999999994</v>
      </c>
      <c r="G56" s="40">
        <f t="shared" si="8"/>
        <v>2334.25</v>
      </c>
      <c r="H56" s="229">
        <f t="shared" si="9"/>
        <v>6.2439755810217393E-2</v>
      </c>
      <c r="I56" s="349"/>
      <c r="J56" s="10"/>
      <c r="K56" s="10"/>
      <c r="O56" s="82">
        <v>0.97</v>
      </c>
      <c r="P56" s="82">
        <f t="shared" si="7"/>
        <v>70.926400000000001</v>
      </c>
      <c r="T56" s="92" t="s">
        <v>110</v>
      </c>
      <c r="U56" s="87">
        <v>6.69</v>
      </c>
      <c r="W56" s="131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59">
        <f t="shared" si="2"/>
        <v>-7.8234143615535379E-3</v>
      </c>
    </row>
    <row r="57" spans="2:31" x14ac:dyDescent="0.25">
      <c r="B57" s="190">
        <v>42488</v>
      </c>
      <c r="C57" s="437">
        <v>50</v>
      </c>
      <c r="D57" s="441">
        <v>95.81</v>
      </c>
      <c r="E57" s="335">
        <v>97</v>
      </c>
      <c r="F57" s="40">
        <f t="shared" si="10"/>
        <v>59.499999999999886</v>
      </c>
      <c r="G57" s="40">
        <f t="shared" si="8"/>
        <v>4790.5</v>
      </c>
      <c r="H57" s="229">
        <f t="shared" si="9"/>
        <v>1.2420415405490009E-2</v>
      </c>
      <c r="I57" s="349"/>
      <c r="J57" s="10"/>
      <c r="K57" s="10"/>
      <c r="O57" s="82">
        <v>0.96</v>
      </c>
      <c r="P57" s="82">
        <f t="shared" si="7"/>
        <v>70.1952</v>
      </c>
      <c r="T57" s="92" t="s">
        <v>111</v>
      </c>
      <c r="U57" s="87">
        <v>9.94</v>
      </c>
      <c r="W57" s="131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59">
        <f t="shared" si="2"/>
        <v>3.0829596412556004E-3</v>
      </c>
    </row>
    <row r="58" spans="2:31" x14ac:dyDescent="0.25">
      <c r="B58" s="190">
        <v>42489</v>
      </c>
      <c r="C58" s="279">
        <v>70</v>
      </c>
      <c r="D58" s="335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29">
        <f t="shared" si="9"/>
        <v>-6.4055089286661704E-2</v>
      </c>
      <c r="I58" s="349"/>
      <c r="J58" s="10"/>
      <c r="K58" s="10"/>
      <c r="O58" s="82">
        <v>0.95</v>
      </c>
      <c r="P58" s="82">
        <f t="shared" si="7"/>
        <v>69.463999999999999</v>
      </c>
      <c r="T58" s="92" t="s">
        <v>108</v>
      </c>
      <c r="U58" s="87" t="s">
        <v>600</v>
      </c>
      <c r="W58" s="131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59">
        <f t="shared" si="2"/>
        <v>-1.5859881395669628E-2</v>
      </c>
    </row>
    <row r="59" spans="2:31" x14ac:dyDescent="0.25">
      <c r="B59" s="190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29">
        <f t="shared" si="9"/>
        <v>-4.9696734645508119E-2</v>
      </c>
      <c r="I59" s="349"/>
      <c r="J59" s="10"/>
      <c r="K59" s="10"/>
      <c r="O59" s="82">
        <v>0.94</v>
      </c>
      <c r="P59" s="82">
        <f t="shared" si="7"/>
        <v>68.732799999999997</v>
      </c>
      <c r="W59" s="131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59">
        <f t="shared" si="2"/>
        <v>-3.9835164835163583E-3</v>
      </c>
    </row>
    <row r="60" spans="2:31" x14ac:dyDescent="0.25">
      <c r="B60" s="190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29">
        <f t="shared" si="9"/>
        <v>-8.7726102366870146E-2</v>
      </c>
      <c r="I60" s="349"/>
      <c r="J60" s="10"/>
      <c r="K60" s="10"/>
      <c r="O60" s="82">
        <v>0.93</v>
      </c>
      <c r="P60" s="82">
        <f t="shared" si="7"/>
        <v>68.00160000000001</v>
      </c>
      <c r="W60" s="131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59">
        <f t="shared" si="2"/>
        <v>-5.600327824067719E-3</v>
      </c>
    </row>
    <row r="61" spans="2:31" x14ac:dyDescent="0.25">
      <c r="B61" s="190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29">
        <f t="shared" si="9"/>
        <v>-0.10830289906596423</v>
      </c>
      <c r="I61" s="349"/>
      <c r="J61" s="10"/>
      <c r="K61" s="10"/>
      <c r="O61" s="82">
        <v>0.92</v>
      </c>
      <c r="P61" s="82">
        <f t="shared" si="7"/>
        <v>67.270400000000009</v>
      </c>
      <c r="W61" s="131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59">
        <f t="shared" si="2"/>
        <v>-1.6523374529822776E-2</v>
      </c>
    </row>
    <row r="62" spans="2:31" x14ac:dyDescent="0.25">
      <c r="B62" s="190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29">
        <f t="shared" si="9"/>
        <v>-7.1105365223012224E-2</v>
      </c>
      <c r="I62" s="349"/>
      <c r="J62" s="10"/>
      <c r="K62" s="10"/>
      <c r="O62" s="82">
        <v>0.91</v>
      </c>
      <c r="P62" s="82">
        <f t="shared" si="7"/>
        <v>66.539200000000008</v>
      </c>
      <c r="W62" s="131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59">
        <f t="shared" si="2"/>
        <v>-1.089556205155473E-2</v>
      </c>
    </row>
    <row r="63" spans="2:31" x14ac:dyDescent="0.25">
      <c r="B63" s="190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29">
        <f t="shared" si="9"/>
        <v>-5.6268381758831316E-2</v>
      </c>
      <c r="I63" s="349"/>
      <c r="J63" s="10"/>
      <c r="K63" s="10"/>
      <c r="O63" s="82">
        <v>0.9</v>
      </c>
      <c r="P63" s="82">
        <f t="shared" si="7"/>
        <v>65.808000000000007</v>
      </c>
      <c r="W63" s="131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59">
        <f t="shared" si="2"/>
        <v>4.6722733947404116E-3</v>
      </c>
    </row>
    <row r="64" spans="2:31" x14ac:dyDescent="0.25">
      <c r="B64" s="190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29">
        <f t="shared" si="9"/>
        <v>-9.965524671407025E-2</v>
      </c>
      <c r="I64" s="233">
        <v>88.5</v>
      </c>
      <c r="J64" s="10"/>
      <c r="K64" s="10"/>
      <c r="W64" s="131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59">
        <f t="shared" si="2"/>
        <v>-6.8938088293784006E-3</v>
      </c>
    </row>
    <row r="65" spans="2:31" x14ac:dyDescent="0.25">
      <c r="B65" s="190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29">
        <f t="shared" si="9"/>
        <v>-0.11883214824391282</v>
      </c>
      <c r="I65" s="349"/>
      <c r="J65" s="10"/>
      <c r="K65" s="10"/>
      <c r="W65" s="131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59">
        <f t="shared" si="2"/>
        <v>-4.8812664907650349E-3</v>
      </c>
    </row>
    <row r="66" spans="2:31" x14ac:dyDescent="0.25">
      <c r="B66" s="190">
        <v>42545</v>
      </c>
      <c r="C66" s="442">
        <v>200</v>
      </c>
      <c r="D66" s="443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29">
        <f t="shared" si="9"/>
        <v>-7.1289254099968918E-2</v>
      </c>
      <c r="I66" s="349"/>
      <c r="J66" s="10"/>
      <c r="K66" s="10"/>
      <c r="W66" s="131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59">
        <f t="shared" si="2"/>
        <v>3.0031254246500882E-2</v>
      </c>
    </row>
    <row r="67" spans="2:31" x14ac:dyDescent="0.25">
      <c r="B67" s="190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29">
        <f t="shared" si="9"/>
        <v>-9.6910452756587134E-2</v>
      </c>
      <c r="I67" s="349"/>
      <c r="J67" s="10"/>
      <c r="K67" s="10"/>
      <c r="W67" s="131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59">
        <f>AC67/AC68-1</f>
        <v>3.5603715170278605E-2</v>
      </c>
    </row>
    <row r="68" spans="2:31" x14ac:dyDescent="0.25">
      <c r="B68" s="190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29">
        <f t="shared" ref="H68:H102" si="13">(E68-D68)/D68</f>
        <v>-5.0053666024213218E-2</v>
      </c>
      <c r="I68" s="349"/>
      <c r="J68" s="10"/>
      <c r="K68" s="10"/>
      <c r="W68" s="131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59" t="e">
        <f>AC68/AC69-1</f>
        <v>#DIV/0!</v>
      </c>
    </row>
    <row r="69" spans="2:31" x14ac:dyDescent="0.25">
      <c r="B69" s="190">
        <v>42550</v>
      </c>
      <c r="C69" s="442">
        <v>200</v>
      </c>
      <c r="D69" s="443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29">
        <f t="shared" si="13"/>
        <v>-4.7927648519005078E-2</v>
      </c>
      <c r="I69" s="349" t="s">
        <v>186</v>
      </c>
      <c r="J69" s="10"/>
      <c r="K69" s="10"/>
      <c r="W69" s="131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59" t="e">
        <f>AC69/AC70-1</f>
        <v>#DIV/0!</v>
      </c>
    </row>
    <row r="70" spans="2:31" x14ac:dyDescent="0.25">
      <c r="B70" s="190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29">
        <f t="shared" si="13"/>
        <v>-4.7424476453895636E-2</v>
      </c>
      <c r="I70" s="349"/>
      <c r="J70" s="10"/>
      <c r="K70" s="10"/>
    </row>
    <row r="71" spans="2:31" x14ac:dyDescent="0.25">
      <c r="B71" s="190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29">
        <f t="shared" si="13"/>
        <v>-5.8312978196055902E-2</v>
      </c>
      <c r="I71" s="349"/>
      <c r="J71" s="10"/>
      <c r="K71" s="10"/>
    </row>
    <row r="72" spans="2:31" x14ac:dyDescent="0.25">
      <c r="B72" s="190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29">
        <f t="shared" si="13"/>
        <v>-2.8453787851575176E-2</v>
      </c>
      <c r="I72" s="349"/>
      <c r="J72" s="10"/>
      <c r="K72" s="10"/>
    </row>
    <row r="73" spans="2:31" x14ac:dyDescent="0.25">
      <c r="B73" s="190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29">
        <f t="shared" si="13"/>
        <v>-2.4188189230934957E-2</v>
      </c>
      <c r="I73" s="349"/>
      <c r="J73" s="10"/>
      <c r="K73" s="10"/>
    </row>
    <row r="74" spans="2:31" x14ac:dyDescent="0.25">
      <c r="B74" s="190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29">
        <f t="shared" si="13"/>
        <v>-4.0913825927655488E-2</v>
      </c>
      <c r="I74" s="349"/>
      <c r="J74" s="10"/>
      <c r="K74" s="10"/>
    </row>
    <row r="75" spans="2:31" x14ac:dyDescent="0.25">
      <c r="B75" s="190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29">
        <f t="shared" si="13"/>
        <v>-2.7219009303495148E-2</v>
      </c>
      <c r="I75" s="349"/>
      <c r="J75" s="10"/>
      <c r="K75" s="10"/>
    </row>
    <row r="76" spans="2:31" x14ac:dyDescent="0.25">
      <c r="B76" s="190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29">
        <f t="shared" si="13"/>
        <v>-2.0708358777255003E-2</v>
      </c>
      <c r="I76" s="349"/>
      <c r="J76" s="10"/>
      <c r="K76" s="10"/>
    </row>
    <row r="77" spans="2:31" x14ac:dyDescent="0.25">
      <c r="B77" s="190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29">
        <f t="shared" si="13"/>
        <v>-2.8453787851575176E-2</v>
      </c>
      <c r="I77" s="457"/>
      <c r="J77" s="10"/>
      <c r="K77" s="10"/>
    </row>
    <row r="78" spans="2:31" x14ac:dyDescent="0.25">
      <c r="B78" s="190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29">
        <f t="shared" si="13"/>
        <v>-6.0032687955746001E-3</v>
      </c>
      <c r="I78" s="349" t="s">
        <v>252</v>
      </c>
      <c r="J78" s="10"/>
      <c r="K78" s="10"/>
    </row>
    <row r="79" spans="2:31" x14ac:dyDescent="0.25">
      <c r="B79" s="190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29">
        <f t="shared" si="13"/>
        <v>-7.5587409740035388E-2</v>
      </c>
      <c r="I79" s="349"/>
      <c r="J79" s="10"/>
      <c r="K79" s="10"/>
    </row>
    <row r="80" spans="2:31" x14ac:dyDescent="0.25">
      <c r="B80" s="190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29">
        <f t="shared" si="13"/>
        <v>-7.6122527985454172E-2</v>
      </c>
      <c r="I80" s="349"/>
      <c r="J80" s="10"/>
      <c r="K80" s="10"/>
    </row>
    <row r="81" spans="2:11" x14ac:dyDescent="0.25">
      <c r="B81" s="190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29">
        <f t="shared" si="13"/>
        <v>-8.2749055719797765E-2</v>
      </c>
      <c r="I81" s="349"/>
      <c r="J81" s="10"/>
      <c r="K81" s="10"/>
    </row>
    <row r="82" spans="2:11" x14ac:dyDescent="0.25">
      <c r="B82" s="190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29">
        <f t="shared" si="13"/>
        <v>-7.4029940279871892E-2</v>
      </c>
      <c r="I82" s="349"/>
      <c r="J82" s="10"/>
      <c r="K82" s="10"/>
    </row>
    <row r="83" spans="2:11" x14ac:dyDescent="0.25">
      <c r="B83" s="190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29">
        <f t="shared" si="13"/>
        <v>-6.1823178663975693E-2</v>
      </c>
      <c r="I83" s="349"/>
      <c r="J83" s="10"/>
      <c r="K83" s="10"/>
    </row>
    <row r="84" spans="2:11" x14ac:dyDescent="0.25">
      <c r="B84" s="190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29">
        <f t="shared" si="13"/>
        <v>-6.3101982261831474E-2</v>
      </c>
      <c r="I84" s="349"/>
      <c r="J84" s="10"/>
      <c r="K84" s="10"/>
    </row>
    <row r="85" spans="2:11" x14ac:dyDescent="0.25">
      <c r="B85" s="190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29">
        <f t="shared" si="13"/>
        <v>-5.8335532488005375E-2</v>
      </c>
      <c r="I85" s="349"/>
      <c r="J85" s="10"/>
      <c r="K85" s="10"/>
    </row>
    <row r="86" spans="2:11" x14ac:dyDescent="0.25">
      <c r="B86" s="190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29">
        <f t="shared" si="13"/>
        <v>-5.2871553478985173E-2</v>
      </c>
      <c r="I86" s="349"/>
      <c r="J86" s="10"/>
      <c r="K86" s="10"/>
    </row>
    <row r="87" spans="2:11" x14ac:dyDescent="0.25">
      <c r="B87" s="190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29">
        <f t="shared" si="13"/>
        <v>-6.4148276114622621E-2</v>
      </c>
      <c r="I87" s="349"/>
      <c r="J87" s="10"/>
      <c r="K87" s="10"/>
    </row>
    <row r="88" spans="2:11" x14ac:dyDescent="0.25">
      <c r="B88" s="190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29">
        <f t="shared" si="13"/>
        <v>-6.9030980760981131E-2</v>
      </c>
      <c r="I88" s="349"/>
      <c r="J88" s="10"/>
      <c r="K88" s="10"/>
    </row>
    <row r="89" spans="2:11" x14ac:dyDescent="0.25">
      <c r="B89" s="190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29">
        <f t="shared" si="13"/>
        <v>-6.4009236704636707E-2</v>
      </c>
      <c r="I89" s="349"/>
      <c r="J89" s="10"/>
      <c r="K89" s="10"/>
    </row>
    <row r="90" spans="2:11" x14ac:dyDescent="0.25">
      <c r="B90" s="190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29">
        <f t="shared" si="13"/>
        <v>-8.5716431290275633E-2</v>
      </c>
      <c r="I90" s="349"/>
      <c r="J90" s="10"/>
      <c r="K90" s="10"/>
    </row>
    <row r="91" spans="2:11" x14ac:dyDescent="0.25">
      <c r="B91" s="190">
        <v>42614</v>
      </c>
      <c r="C91" s="442">
        <v>200</v>
      </c>
      <c r="D91" s="443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29">
        <f t="shared" si="13"/>
        <v>-7.9357000668304534E-2</v>
      </c>
      <c r="I91" s="349"/>
      <c r="J91" s="10"/>
      <c r="K91" s="10"/>
    </row>
    <row r="92" spans="2:11" x14ac:dyDescent="0.25">
      <c r="B92" s="190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29">
        <f t="shared" si="13"/>
        <v>-8.5659516680262685E-2</v>
      </c>
      <c r="I92" s="349"/>
      <c r="J92" s="10"/>
      <c r="K92" s="10"/>
    </row>
    <row r="93" spans="2:11" x14ac:dyDescent="0.25">
      <c r="B93" s="190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29">
        <f t="shared" si="13"/>
        <v>-7.3886892431510753E-2</v>
      </c>
      <c r="I93" s="349"/>
      <c r="J93" s="10"/>
      <c r="K93" s="10"/>
    </row>
    <row r="94" spans="2:11" x14ac:dyDescent="0.25">
      <c r="B94" s="190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29">
        <f t="shared" si="13"/>
        <v>-6.0687283425334304E-2</v>
      </c>
      <c r="I94" s="349"/>
      <c r="J94" s="10"/>
      <c r="K94" s="10"/>
    </row>
    <row r="95" spans="2:11" x14ac:dyDescent="0.25">
      <c r="B95" s="190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29">
        <f t="shared" si="13"/>
        <v>-2.7509887815215003E-2</v>
      </c>
      <c r="I95" s="349"/>
      <c r="J95" s="10"/>
      <c r="K95" s="10"/>
    </row>
    <row r="96" spans="2:11" x14ac:dyDescent="0.25">
      <c r="B96" s="190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29">
        <f t="shared" si="13"/>
        <v>-3.060168812296811E-2</v>
      </c>
      <c r="I96" s="349"/>
      <c r="J96" s="10"/>
      <c r="K96" s="10"/>
    </row>
    <row r="97" spans="2:11" x14ac:dyDescent="0.25">
      <c r="B97" s="190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29">
        <f t="shared" si="13"/>
        <v>-5.7595483117581198E-2</v>
      </c>
      <c r="I97" s="349" t="s">
        <v>186</v>
      </c>
      <c r="J97" s="10"/>
      <c r="K97" s="10"/>
    </row>
    <row r="98" spans="2:11" x14ac:dyDescent="0.25">
      <c r="B98" s="190">
        <v>42643</v>
      </c>
      <c r="C98" s="442">
        <v>200</v>
      </c>
      <c r="D98" s="443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29">
        <f t="shared" si="13"/>
        <v>-5.3853347268826658E-2</v>
      </c>
      <c r="I98" s="443">
        <v>83</v>
      </c>
      <c r="J98" s="10"/>
      <c r="K98" s="10"/>
    </row>
    <row r="99" spans="2:11" x14ac:dyDescent="0.25">
      <c r="B99" s="190">
        <v>42646</v>
      </c>
      <c r="C99" s="442">
        <v>200</v>
      </c>
      <c r="D99" s="443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29">
        <f t="shared" si="13"/>
        <v>-6.5719335047917327E-2</v>
      </c>
      <c r="I99" s="349"/>
      <c r="J99" s="10"/>
      <c r="K99" s="10"/>
    </row>
    <row r="100" spans="2:11" x14ac:dyDescent="0.25">
      <c r="B100" s="190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29">
        <f t="shared" si="13"/>
        <v>-7.1640009258018542E-2</v>
      </c>
      <c r="I100" s="349"/>
      <c r="J100" s="10"/>
      <c r="K100" s="10"/>
    </row>
    <row r="101" spans="2:11" x14ac:dyDescent="0.25">
      <c r="B101" s="190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29">
        <f t="shared" si="13"/>
        <v>-8.3456164500371535E-2</v>
      </c>
      <c r="I101" s="349"/>
      <c r="J101" s="10"/>
      <c r="K101" s="10"/>
    </row>
    <row r="102" spans="2:11" x14ac:dyDescent="0.25">
      <c r="B102" s="190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29">
        <f t="shared" si="13"/>
        <v>-0.105748498617388</v>
      </c>
      <c r="I102" s="349"/>
      <c r="J102" s="10"/>
      <c r="K102" s="10"/>
    </row>
    <row r="103" spans="2:11" x14ac:dyDescent="0.25">
      <c r="B103" s="190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29">
        <f t="shared" ref="H103:H110" si="16">(E103-D103)/D103</f>
        <v>-0.11671194162575665</v>
      </c>
      <c r="I103" s="349"/>
      <c r="J103" s="10"/>
      <c r="K103" s="10"/>
    </row>
    <row r="104" spans="2:11" x14ac:dyDescent="0.25">
      <c r="B104" s="190">
        <v>42701</v>
      </c>
      <c r="C104" s="442">
        <v>200</v>
      </c>
      <c r="D104" s="443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29">
        <f t="shared" si="16"/>
        <v>-8.5464904836949906E-2</v>
      </c>
      <c r="I104" s="549" t="s">
        <v>313</v>
      </c>
      <c r="J104" s="10"/>
      <c r="K104" s="10"/>
    </row>
    <row r="105" spans="2:11" x14ac:dyDescent="0.25">
      <c r="B105" s="190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29">
        <f t="shared" si="16"/>
        <v>-0.10655837071160132</v>
      </c>
      <c r="I105" s="349"/>
      <c r="J105" s="10"/>
      <c r="K105" s="10"/>
    </row>
    <row r="106" spans="2:11" x14ac:dyDescent="0.25">
      <c r="B106" s="190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29">
        <f t="shared" si="16"/>
        <v>-9.6905375917476722E-2</v>
      </c>
      <c r="I106" s="349"/>
      <c r="J106" s="10"/>
      <c r="K106" s="10"/>
    </row>
    <row r="107" spans="2:11" x14ac:dyDescent="0.25">
      <c r="B107" s="190">
        <v>42717</v>
      </c>
      <c r="C107" s="442">
        <v>200</v>
      </c>
      <c r="D107" s="443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29">
        <f t="shared" si="16"/>
        <v>-8.8716227158545574E-2</v>
      </c>
      <c r="I107" s="349"/>
      <c r="J107" s="10"/>
      <c r="K107" s="10"/>
    </row>
    <row r="108" spans="2:11" x14ac:dyDescent="0.25">
      <c r="B108" s="190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29">
        <f t="shared" si="16"/>
        <v>-0.11177362807953685</v>
      </c>
      <c r="I108" s="349"/>
      <c r="J108" s="10"/>
      <c r="K108" s="10"/>
    </row>
    <row r="109" spans="2:11" x14ac:dyDescent="0.25">
      <c r="B109" s="190">
        <v>42717</v>
      </c>
      <c r="C109" s="442">
        <v>200</v>
      </c>
      <c r="D109" s="443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29">
        <f t="shared" si="16"/>
        <v>-8.718794366032262E-2</v>
      </c>
      <c r="I109" s="549" t="s">
        <v>326</v>
      </c>
      <c r="J109" s="10"/>
      <c r="K109" s="10"/>
    </row>
    <row r="110" spans="2:11" x14ac:dyDescent="0.25">
      <c r="B110" s="190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29">
        <f t="shared" si="16"/>
        <v>-0.10887698472060309</v>
      </c>
      <c r="I110" s="349"/>
      <c r="J110" s="10"/>
      <c r="K110" s="10"/>
    </row>
    <row r="111" spans="2:11" x14ac:dyDescent="0.25">
      <c r="B111" s="190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29">
        <f t="shared" ref="H111:H123" si="19">(E111-D111)/D111</f>
        <v>-9.3751689471652688E-2</v>
      </c>
      <c r="I111" s="349" t="s">
        <v>186</v>
      </c>
      <c r="J111" s="10"/>
      <c r="K111" s="10"/>
    </row>
    <row r="112" spans="2:11" x14ac:dyDescent="0.25">
      <c r="B112" s="190">
        <v>42738</v>
      </c>
      <c r="C112" s="442">
        <v>200</v>
      </c>
      <c r="D112" s="443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29">
        <f t="shared" si="19"/>
        <v>-8.4741620930488121E-2</v>
      </c>
      <c r="I112" s="349"/>
      <c r="J112" s="10"/>
      <c r="K112" s="10"/>
    </row>
    <row r="113" spans="1:11" x14ac:dyDescent="0.25">
      <c r="B113" s="190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29">
        <f t="shared" si="19"/>
        <v>-5.7343109582938014E-2</v>
      </c>
      <c r="I113" s="349"/>
      <c r="J113" s="10"/>
      <c r="K113" s="10"/>
    </row>
    <row r="114" spans="1:11" x14ac:dyDescent="0.25">
      <c r="B114" s="190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29">
        <f t="shared" si="19"/>
        <v>-8.9554872923976653E-2</v>
      </c>
      <c r="I114" s="349"/>
      <c r="J114" s="10"/>
      <c r="K114" s="10"/>
    </row>
    <row r="115" spans="1:11" x14ac:dyDescent="0.25">
      <c r="B115" s="190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29">
        <f t="shared" si="19"/>
        <v>-9.2011061025038907E-2</v>
      </c>
      <c r="I115" s="199">
        <v>79</v>
      </c>
      <c r="J115" s="10"/>
      <c r="K115" s="10"/>
    </row>
    <row r="116" spans="1:11" x14ac:dyDescent="0.25">
      <c r="A116" t="s">
        <v>357</v>
      </c>
      <c r="B116" s="190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29">
        <f t="shared" si="19"/>
        <v>-8.7207015433027113E-2</v>
      </c>
      <c r="I116" s="349"/>
      <c r="J116" s="10"/>
      <c r="K116" s="10"/>
    </row>
    <row r="117" spans="1:11" x14ac:dyDescent="0.25">
      <c r="A117" t="s">
        <v>377</v>
      </c>
      <c r="B117" s="190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29">
        <f t="shared" si="19"/>
        <v>-9.1368251561117442E-2</v>
      </c>
      <c r="I117" s="199" t="s">
        <v>392</v>
      </c>
      <c r="J117" s="10"/>
      <c r="K117" s="10"/>
    </row>
    <row r="118" spans="1:11" x14ac:dyDescent="0.25">
      <c r="A118" t="s">
        <v>377</v>
      </c>
      <c r="B118" s="190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29">
        <f t="shared" si="19"/>
        <v>-9.7950705018740952E-2</v>
      </c>
      <c r="I118" s="349"/>
      <c r="J118" s="10"/>
      <c r="K118" s="10"/>
    </row>
    <row r="119" spans="1:11" x14ac:dyDescent="0.25">
      <c r="A119" t="s">
        <v>416</v>
      </c>
      <c r="B119" s="190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29">
        <f t="shared" si="19"/>
        <v>-8.4279455529830516E-2</v>
      </c>
      <c r="I119" s="349"/>
      <c r="J119" s="10"/>
      <c r="K119" s="10"/>
    </row>
    <row r="120" spans="1:11" x14ac:dyDescent="0.25">
      <c r="A120" t="s">
        <v>357</v>
      </c>
      <c r="B120" s="190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29">
        <f t="shared" si="19"/>
        <v>-5.5303438395785734E-2</v>
      </c>
      <c r="I120" s="349"/>
      <c r="J120" s="10"/>
      <c r="K120" s="10"/>
    </row>
    <row r="121" spans="1:11" x14ac:dyDescent="0.25">
      <c r="A121" t="s">
        <v>430</v>
      </c>
      <c r="B121" s="190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29">
        <f t="shared" si="19"/>
        <v>-0.13181769750160807</v>
      </c>
      <c r="I121" s="349"/>
      <c r="J121" s="10"/>
      <c r="K121" s="10"/>
    </row>
    <row r="122" spans="1:11" x14ac:dyDescent="0.25">
      <c r="A122" t="s">
        <v>449</v>
      </c>
      <c r="B122" s="190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29">
        <f t="shared" si="19"/>
        <v>-0.10641533680421057</v>
      </c>
      <c r="I122" s="349"/>
      <c r="J122" s="10"/>
      <c r="K122" s="10"/>
    </row>
    <row r="123" spans="1:11" x14ac:dyDescent="0.25">
      <c r="A123" t="s">
        <v>452</v>
      </c>
      <c r="B123" s="190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29">
        <f t="shared" si="19"/>
        <v>-0.11290732550454985</v>
      </c>
      <c r="I123" s="349"/>
      <c r="J123" s="10"/>
      <c r="K123" s="10"/>
    </row>
    <row r="124" spans="1:11" x14ac:dyDescent="0.25">
      <c r="A124" t="s">
        <v>467</v>
      </c>
      <c r="B124" s="190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29">
        <f t="shared" ref="H124" si="22">(E124-D124)/D124</f>
        <v>-0.12523511768593359</v>
      </c>
      <c r="I124" s="349"/>
      <c r="J124" s="10"/>
      <c r="K124" s="10"/>
    </row>
    <row r="125" spans="1:11" x14ac:dyDescent="0.25">
      <c r="A125" t="s">
        <v>416</v>
      </c>
      <c r="B125" s="190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29">
        <f t="shared" ref="H125" si="25">(E125-D125)/D125</f>
        <v>-0.11112805652991714</v>
      </c>
      <c r="I125" s="349"/>
      <c r="J125" s="10"/>
      <c r="K125" s="10"/>
    </row>
    <row r="126" spans="1:11" x14ac:dyDescent="0.25">
      <c r="A126">
        <v>250</v>
      </c>
      <c r="B126" s="190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29">
        <f t="shared" ref="H126" si="28">(E126-D126)/D126</f>
        <v>-0.13870672563672415</v>
      </c>
      <c r="I126" s="349"/>
      <c r="J126" s="10"/>
      <c r="K126" s="10"/>
    </row>
    <row r="127" spans="1:11" x14ac:dyDescent="0.25">
      <c r="A127">
        <v>250</v>
      </c>
      <c r="B127" s="190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29">
        <f t="shared" ref="H127" si="31">(E127-D127)/D127</f>
        <v>-0.12981038076356055</v>
      </c>
      <c r="I127" s="349"/>
      <c r="J127" s="10">
        <v>43.23</v>
      </c>
      <c r="K127" s="10"/>
    </row>
    <row r="128" spans="1:11" x14ac:dyDescent="0.25">
      <c r="A128">
        <v>250</v>
      </c>
      <c r="B128" s="190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29">
        <f t="shared" ref="H128" si="34">(E128-D128)/D128</f>
        <v>-0.14201108230389906</v>
      </c>
      <c r="I128" s="349"/>
      <c r="J128" s="10"/>
      <c r="K128" s="10"/>
    </row>
    <row r="129" spans="1:11" x14ac:dyDescent="0.25">
      <c r="A129">
        <v>250</v>
      </c>
      <c r="B129" s="190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29">
        <f t="shared" ref="H129" si="37">(E129-D129)/D129</f>
        <v>-0.13105777595824164</v>
      </c>
      <c r="I129" s="349" t="s">
        <v>186</v>
      </c>
      <c r="J129" s="10">
        <v>44.78</v>
      </c>
      <c r="K129" s="10"/>
    </row>
    <row r="130" spans="1:11" x14ac:dyDescent="0.25">
      <c r="A130">
        <v>250</v>
      </c>
      <c r="B130" s="190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29">
        <f t="shared" ref="H130" si="40">(E130-D130)/D130</f>
        <v>-0.15536564147177737</v>
      </c>
      <c r="I130" s="349"/>
      <c r="J130" s="10"/>
      <c r="K130" s="10"/>
    </row>
    <row r="131" spans="1:11" x14ac:dyDescent="0.25">
      <c r="A131">
        <v>250</v>
      </c>
      <c r="B131" s="190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29">
        <f t="shared" ref="H131:H134" si="43">(E131-D131)/D131</f>
        <v>-0.13259300956962289</v>
      </c>
      <c r="I131" s="349"/>
      <c r="J131" s="10"/>
      <c r="K131" s="10"/>
    </row>
    <row r="132" spans="1:11" x14ac:dyDescent="0.25">
      <c r="A132">
        <v>250</v>
      </c>
      <c r="B132" s="190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29">
        <f t="shared" si="43"/>
        <v>-8.8403482561434293E-2</v>
      </c>
      <c r="I132" s="349"/>
      <c r="J132" s="10"/>
      <c r="K132" s="10"/>
    </row>
    <row r="133" spans="1:11" x14ac:dyDescent="0.25">
      <c r="A133">
        <v>200</v>
      </c>
      <c r="B133" s="190">
        <v>42940</v>
      </c>
      <c r="C133" s="442">
        <v>200</v>
      </c>
      <c r="D133" s="443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29">
        <f t="shared" si="43"/>
        <v>-5.2783840153612198E-2</v>
      </c>
      <c r="I133" s="349"/>
      <c r="J133" s="10"/>
      <c r="K133" s="10"/>
    </row>
    <row r="134" spans="1:11" x14ac:dyDescent="0.25">
      <c r="A134">
        <v>200</v>
      </c>
      <c r="B134" s="190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29">
        <f t="shared" si="43"/>
        <v>-3.1194295900178286E-2</v>
      </c>
      <c r="I134" s="349"/>
      <c r="J134" s="10"/>
      <c r="K134" s="10"/>
    </row>
    <row r="135" spans="1:11" x14ac:dyDescent="0.25">
      <c r="A135">
        <v>200</v>
      </c>
      <c r="B135" s="190">
        <v>42953</v>
      </c>
      <c r="C135" s="10">
        <v>200</v>
      </c>
      <c r="D135" s="40">
        <v>78.540000000000006</v>
      </c>
      <c r="E135" s="40">
        <v>73.16</v>
      </c>
      <c r="F135" s="40">
        <f t="shared" ref="F135" si="44">C135*(E135-D135)</f>
        <v>-1076.0000000000018</v>
      </c>
      <c r="G135" s="40">
        <f t="shared" ref="G135" si="45">D135*C135</f>
        <v>15708.000000000002</v>
      </c>
      <c r="H135" s="229">
        <f t="shared" ref="H135" si="46">(E135-D135)/D135</f>
        <v>-6.8500127323656859E-2</v>
      </c>
      <c r="I135" s="349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29"/>
      <c r="I136" s="349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29"/>
      <c r="I137" s="349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29"/>
      <c r="I138" s="349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29"/>
      <c r="I139" s="349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29"/>
      <c r="I140" s="349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29"/>
      <c r="I141" s="349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29"/>
      <c r="I142" s="349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I124:I131 H132:I142 F132:F142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1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5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69.7</v>
      </c>
      <c r="W3" s="131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5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69.7</v>
      </c>
      <c r="R4" s="497">
        <v>-2.3999999999999998E-3</v>
      </c>
      <c r="W4" s="131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5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5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5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1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5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5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5">
        <f t="shared" si="1"/>
        <v>6.1441630451071205E-3</v>
      </c>
    </row>
    <row r="10" spans="1:31" x14ac:dyDescent="0.25">
      <c r="O10" s="11" t="s">
        <v>210</v>
      </c>
      <c r="P10" s="34"/>
      <c r="Q10" s="2">
        <f>M33</f>
        <v>33.940000000000055</v>
      </c>
      <c r="W10" s="131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5">
        <f t="shared" si="1"/>
        <v>5.424137411481178E-3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7.4000000000000003E-3</v>
      </c>
      <c r="W11" s="131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5">
        <f t="shared" si="1"/>
        <v>7.8967350037966177E-3</v>
      </c>
    </row>
    <row r="12" spans="1:31" x14ac:dyDescent="0.25">
      <c r="W12" s="131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5">
        <f t="shared" si="1"/>
        <v>-1.5989240884638489E-2</v>
      </c>
    </row>
    <row r="13" spans="1:31" x14ac:dyDescent="0.25">
      <c r="W13" s="131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5">
        <f t="shared" si="1"/>
        <v>-2.8314215188035452E-2</v>
      </c>
    </row>
    <row r="14" spans="1:31" x14ac:dyDescent="0.25">
      <c r="W14" s="131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5">
        <f t="shared" si="1"/>
        <v>4.3579314352126808E-4</v>
      </c>
    </row>
    <row r="15" spans="1:31" x14ac:dyDescent="0.25">
      <c r="W15" s="131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5">
        <f t="shared" si="1"/>
        <v>3.6448461874909466E-3</v>
      </c>
    </row>
    <row r="16" spans="1:31" x14ac:dyDescent="0.25">
      <c r="W16" s="131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5">
        <f t="shared" si="1"/>
        <v>-5.7979417306854852E-3</v>
      </c>
    </row>
    <row r="17" spans="1:31" x14ac:dyDescent="0.25">
      <c r="W17" s="131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5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1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5">
        <f t="shared" si="1"/>
        <v>-8.172796263864579E-3</v>
      </c>
    </row>
    <row r="19" spans="1:31" x14ac:dyDescent="0.25">
      <c r="W19" s="131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5">
        <f t="shared" si="1"/>
        <v>6.3151710970772434E-3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W20" s="131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5">
        <f t="shared" si="1"/>
        <v>-5.2593133674214698E-3</v>
      </c>
    </row>
    <row r="21" spans="1:31" x14ac:dyDescent="0.25">
      <c r="B21" s="19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1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5">
        <f t="shared" si="1"/>
        <v>-1.3262217096727702E-2</v>
      </c>
    </row>
    <row r="22" spans="1:31" x14ac:dyDescent="0.25">
      <c r="B22" s="190">
        <v>42310</v>
      </c>
      <c r="C22" s="10">
        <v>0</v>
      </c>
      <c r="D22" s="199" t="s">
        <v>128</v>
      </c>
      <c r="E22" s="40">
        <v>46.15</v>
      </c>
      <c r="F22" s="40">
        <v>33.94</v>
      </c>
      <c r="W22" s="131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5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1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5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1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5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1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5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1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5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1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5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1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5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1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5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1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5">
        <f t="shared" si="1"/>
        <v>9.9971436732371188E-4</v>
      </c>
    </row>
    <row r="31" spans="1:31" x14ac:dyDescent="0.25">
      <c r="W31" s="131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5">
        <f t="shared" si="1"/>
        <v>-1.3802816901408499E-2</v>
      </c>
    </row>
    <row r="32" spans="1:31" x14ac:dyDescent="0.25">
      <c r="W32" s="131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5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1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5">
        <f t="shared" si="1"/>
        <v>1.1508951406649759E-2</v>
      </c>
    </row>
    <row r="34" spans="1:31" x14ac:dyDescent="0.25">
      <c r="A34" s="382" t="s">
        <v>1</v>
      </c>
      <c r="B34" s="382" t="s">
        <v>2</v>
      </c>
      <c r="C34" s="382" t="s">
        <v>4</v>
      </c>
      <c r="D34" s="384" t="s">
        <v>5</v>
      </c>
      <c r="E34" s="384" t="s">
        <v>94</v>
      </c>
      <c r="F34" s="384" t="s">
        <v>60</v>
      </c>
      <c r="G34" s="382" t="s">
        <v>3</v>
      </c>
      <c r="H34" s="382" t="s">
        <v>6</v>
      </c>
      <c r="I34" s="382" t="s">
        <v>7</v>
      </c>
      <c r="J34" s="382" t="s">
        <v>95</v>
      </c>
      <c r="K34" s="382" t="s">
        <v>61</v>
      </c>
      <c r="L34" s="382" t="s">
        <v>77</v>
      </c>
      <c r="M34" s="382" t="s">
        <v>38</v>
      </c>
      <c r="W34" s="131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5">
        <f t="shared" si="1"/>
        <v>2.421307506053294E-3</v>
      </c>
    </row>
    <row r="35" spans="1:31" x14ac:dyDescent="0.25">
      <c r="A35" s="385" t="s">
        <v>53</v>
      </c>
      <c r="B35" s="375">
        <v>42214</v>
      </c>
      <c r="C35" s="376">
        <v>15</v>
      </c>
      <c r="D35" s="377">
        <v>47.8</v>
      </c>
      <c r="E35" s="377">
        <v>0</v>
      </c>
      <c r="F35" s="377">
        <f>C35*D35</f>
        <v>717</v>
      </c>
      <c r="G35" s="375">
        <v>42313</v>
      </c>
      <c r="H35" s="377">
        <v>70</v>
      </c>
      <c r="I35" s="377">
        <v>46.15</v>
      </c>
      <c r="J35" s="377">
        <v>0.06</v>
      </c>
      <c r="K35" s="376">
        <f>I35*H35-J35</f>
        <v>3230.44</v>
      </c>
      <c r="L35" s="375">
        <v>42247</v>
      </c>
      <c r="M35" s="377">
        <v>3.5</v>
      </c>
      <c r="W35" s="131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5">
        <f t="shared" si="1"/>
        <v>-2.5571814178151353E-3</v>
      </c>
    </row>
    <row r="36" spans="1:31" x14ac:dyDescent="0.25">
      <c r="A36" s="386" t="s">
        <v>71</v>
      </c>
      <c r="B36" s="375">
        <v>42233</v>
      </c>
      <c r="C36" s="376">
        <v>20</v>
      </c>
      <c r="D36" s="377">
        <v>47.5</v>
      </c>
      <c r="E36" s="377">
        <v>0</v>
      </c>
      <c r="F36" s="377">
        <f>C36*D36</f>
        <v>950</v>
      </c>
      <c r="G36" s="376"/>
      <c r="H36" s="376"/>
      <c r="I36" s="376"/>
      <c r="J36" s="376"/>
      <c r="K36" s="376"/>
      <c r="L36" s="375">
        <v>42338</v>
      </c>
      <c r="M36" s="376"/>
      <c r="W36" s="131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5" t="e">
        <f t="shared" si="1"/>
        <v>#DIV/0!</v>
      </c>
    </row>
    <row r="37" spans="1:31" x14ac:dyDescent="0.25">
      <c r="A37" s="376"/>
      <c r="B37" s="375">
        <v>42269</v>
      </c>
      <c r="C37" s="376">
        <v>35</v>
      </c>
      <c r="D37" s="377">
        <v>43.8</v>
      </c>
      <c r="E37" s="377">
        <v>0</v>
      </c>
      <c r="F37" s="377">
        <f>C37*D37</f>
        <v>1533</v>
      </c>
      <c r="G37" s="376"/>
      <c r="H37" s="376"/>
      <c r="I37" s="376"/>
      <c r="J37" s="376"/>
      <c r="K37" s="376"/>
      <c r="L37" s="376"/>
      <c r="M37" s="376"/>
      <c r="W37" s="131">
        <v>42781</v>
      </c>
      <c r="X37" s="10" t="s">
        <v>459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5">
        <f t="shared" si="1"/>
        <v>1.4302059496573705E-4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5">
        <f t="shared" si="1"/>
        <v>-2.7100271002710175E-3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5">
        <f t="shared" si="1"/>
        <v>-2.1349274124680129E-3</v>
      </c>
    </row>
    <row r="41" spans="1:31" x14ac:dyDescent="0.2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34"/>
      <c r="W41" s="131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5">
        <f t="shared" si="1"/>
        <v>1.4145496535796775E-2</v>
      </c>
    </row>
    <row r="42" spans="1:31" ht="20.25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716" t="s">
        <v>78</v>
      </c>
      <c r="P42" s="716"/>
      <c r="Q42" s="34"/>
      <c r="T42" s="90" t="s">
        <v>112</v>
      </c>
      <c r="W42" s="131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5">
        <f t="shared" si="1"/>
        <v>-4.7406981755494515E-3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76.670000000000016</v>
      </c>
      <c r="Q43" s="34"/>
      <c r="T43" s="126" t="s">
        <v>97</v>
      </c>
      <c r="U43" s="97">
        <v>68.66</v>
      </c>
      <c r="W43" s="131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5">
        <f t="shared" si="1"/>
        <v>-4.0062956073830813E-3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2">O44*$Q$4</f>
        <v>75.973000000000013</v>
      </c>
      <c r="Q44" s="34"/>
      <c r="T44" s="92" t="s">
        <v>98</v>
      </c>
      <c r="U44" s="87">
        <v>69.25</v>
      </c>
      <c r="W44" s="131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5">
        <f t="shared" si="1"/>
        <v>-4.4159544159544373E-3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2"/>
        <v>75.27600000000001</v>
      </c>
      <c r="Q45" s="34"/>
      <c r="T45" s="92" t="s">
        <v>99</v>
      </c>
      <c r="U45" s="87" t="s">
        <v>128</v>
      </c>
      <c r="W45" s="131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5">
        <f t="shared" si="1"/>
        <v>1.6949152542372836E-2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2"/>
        <v>74.579000000000008</v>
      </c>
      <c r="Q46" s="82"/>
      <c r="T46" s="92" t="s">
        <v>100</v>
      </c>
      <c r="U46" s="87" t="s">
        <v>721</v>
      </c>
      <c r="W46" s="131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5">
        <f t="shared" si="1"/>
        <v>-5.188067444876765E-3</v>
      </c>
    </row>
    <row r="47" spans="1:31" x14ac:dyDescent="0.25">
      <c r="A47" s="376"/>
      <c r="B47" s="376"/>
      <c r="C47" s="376"/>
      <c r="D47" s="377"/>
      <c r="E47" s="377"/>
      <c r="F47" s="377"/>
      <c r="G47" s="376"/>
      <c r="H47" s="376"/>
      <c r="I47" s="376"/>
      <c r="J47" s="376"/>
      <c r="K47" s="376"/>
      <c r="L47" s="376"/>
      <c r="M47" s="376"/>
      <c r="O47" s="82">
        <v>1.06</v>
      </c>
      <c r="P47" s="82">
        <f t="shared" si="2"/>
        <v>73.882000000000005</v>
      </c>
      <c r="Q47" s="82"/>
      <c r="T47" s="92" t="s">
        <v>101</v>
      </c>
      <c r="U47" s="87">
        <v>70.2</v>
      </c>
      <c r="W47" s="131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5">
        <f t="shared" si="1"/>
        <v>-1.8699654775603536E-3</v>
      </c>
    </row>
    <row r="48" spans="1:31" x14ac:dyDescent="0.25">
      <c r="A48" s="376"/>
      <c r="B48" s="376"/>
      <c r="C48" s="376"/>
      <c r="D48" s="377"/>
      <c r="E48" s="377"/>
      <c r="F48" s="377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2"/>
        <v>73.185000000000002</v>
      </c>
      <c r="Q48" s="82"/>
      <c r="T48" s="92" t="s">
        <v>102</v>
      </c>
      <c r="U48" s="87">
        <v>1.4081300000000001</v>
      </c>
      <c r="W48" s="131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5">
        <f t="shared" si="1"/>
        <v>-5.5786010585038293E-3</v>
      </c>
    </row>
    <row r="49" spans="1:31" x14ac:dyDescent="0.25">
      <c r="A49" s="376"/>
      <c r="B49" s="376"/>
      <c r="C49" s="376"/>
      <c r="D49" s="377"/>
      <c r="E49" s="377"/>
      <c r="F49" s="377"/>
      <c r="G49" s="376"/>
      <c r="H49" s="376"/>
      <c r="I49" s="376"/>
      <c r="J49" s="376"/>
      <c r="K49" s="376"/>
      <c r="L49" s="376"/>
      <c r="M49" s="376"/>
      <c r="O49" s="82">
        <v>1.04</v>
      </c>
      <c r="P49" s="82">
        <f t="shared" si="2"/>
        <v>72.488</v>
      </c>
      <c r="Q49" s="82"/>
      <c r="T49" s="92" t="s">
        <v>121</v>
      </c>
      <c r="U49" s="87" t="s">
        <v>375</v>
      </c>
      <c r="W49" s="131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5">
        <f t="shared" si="1"/>
        <v>4.2930738408708535E-4</v>
      </c>
    </row>
    <row r="50" spans="1:31" x14ac:dyDescent="0.25">
      <c r="A50" s="376"/>
      <c r="B50" s="376"/>
      <c r="C50" s="376"/>
      <c r="D50" s="377"/>
      <c r="E50" s="377"/>
      <c r="F50" s="377"/>
      <c r="G50" s="376"/>
      <c r="H50" s="376"/>
      <c r="I50" s="376"/>
      <c r="J50" s="376"/>
      <c r="K50" s="376"/>
      <c r="L50" s="376"/>
      <c r="M50" s="376"/>
      <c r="O50" s="82">
        <v>1.03</v>
      </c>
      <c r="P50" s="82">
        <f t="shared" si="2"/>
        <v>71.791000000000011</v>
      </c>
      <c r="Q50" s="82"/>
      <c r="T50" s="92"/>
      <c r="U50" s="87"/>
      <c r="W50" s="131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5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71.094000000000008</v>
      </c>
      <c r="Q51" s="82"/>
      <c r="T51" s="92" t="s">
        <v>104</v>
      </c>
      <c r="U51" s="87" t="s">
        <v>722</v>
      </c>
      <c r="W51" s="131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5">
        <f t="shared" si="1"/>
        <v>1.1252163877668808E-2</v>
      </c>
    </row>
    <row r="52" spans="1:31" x14ac:dyDescent="0.25">
      <c r="A52" s="376"/>
      <c r="B52" s="376"/>
      <c r="C52" s="376"/>
      <c r="D52" s="377"/>
      <c r="E52" s="377"/>
      <c r="F52" s="377"/>
      <c r="G52" s="376"/>
      <c r="H52" s="376"/>
      <c r="I52" s="376"/>
      <c r="J52" s="376"/>
      <c r="K52" s="376"/>
      <c r="L52" s="376"/>
      <c r="M52" s="376"/>
      <c r="O52" s="82">
        <v>1.01</v>
      </c>
      <c r="P52" s="82">
        <f t="shared" si="2"/>
        <v>70.397000000000006</v>
      </c>
      <c r="Q52" s="82"/>
      <c r="T52" s="92" t="s">
        <v>105</v>
      </c>
      <c r="U52" s="87" t="s">
        <v>723</v>
      </c>
      <c r="W52" s="131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5">
        <f t="shared" si="1"/>
        <v>7.21813194745069E-4</v>
      </c>
    </row>
    <row r="53" spans="1:31" x14ac:dyDescent="0.25">
      <c r="O53" s="82">
        <v>1</v>
      </c>
      <c r="P53" s="82">
        <f t="shared" si="2"/>
        <v>69.7</v>
      </c>
      <c r="Q53" s="82"/>
      <c r="T53" s="92" t="s">
        <v>106</v>
      </c>
      <c r="U53" s="89">
        <v>388327</v>
      </c>
      <c r="W53" s="131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5">
        <f t="shared" si="1"/>
        <v>5.4658952496954738E-2</v>
      </c>
    </row>
    <row r="54" spans="1:31" x14ac:dyDescent="0.25">
      <c r="O54" s="82">
        <v>0.99</v>
      </c>
      <c r="P54" s="82">
        <f t="shared" si="2"/>
        <v>69.003</v>
      </c>
      <c r="Q54" s="82"/>
      <c r="T54" s="92" t="s">
        <v>109</v>
      </c>
      <c r="U54" s="89">
        <v>273042</v>
      </c>
      <c r="W54" s="131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5">
        <f t="shared" si="1"/>
        <v>-2.6674570243034879E-2</v>
      </c>
    </row>
    <row r="55" spans="1:31" x14ac:dyDescent="0.25">
      <c r="O55" s="82">
        <v>0.98</v>
      </c>
      <c r="P55" s="82">
        <f t="shared" si="2"/>
        <v>68.305999999999997</v>
      </c>
      <c r="Q55" s="82"/>
      <c r="T55" s="92" t="s">
        <v>107</v>
      </c>
      <c r="U55" s="87" t="s">
        <v>724</v>
      </c>
      <c r="W55" s="131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5">
        <f t="shared" si="1"/>
        <v>2.0790020790020236E-3</v>
      </c>
    </row>
    <row r="56" spans="1:31" x14ac:dyDescent="0.25">
      <c r="O56" s="82">
        <v>0.97</v>
      </c>
      <c r="P56" s="82">
        <f t="shared" si="2"/>
        <v>67.608999999999995</v>
      </c>
      <c r="Q56" s="82"/>
      <c r="T56" s="92" t="s">
        <v>110</v>
      </c>
      <c r="U56" s="87">
        <v>21.32</v>
      </c>
      <c r="W56" s="131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5">
        <f t="shared" si="1"/>
        <v>-1.4344262295081789E-2</v>
      </c>
    </row>
    <row r="57" spans="1:31" x14ac:dyDescent="0.25">
      <c r="O57" s="82">
        <v>0.96</v>
      </c>
      <c r="P57" s="82">
        <f t="shared" si="2"/>
        <v>66.912000000000006</v>
      </c>
      <c r="Q57" s="82"/>
      <c r="T57" s="92" t="s">
        <v>111</v>
      </c>
      <c r="U57" s="87">
        <v>3.19</v>
      </c>
      <c r="W57" s="131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5">
        <f t="shared" si="1"/>
        <v>7.6696165191740828E-3</v>
      </c>
    </row>
    <row r="58" spans="1:31" x14ac:dyDescent="0.25">
      <c r="O58" s="82">
        <v>0.95</v>
      </c>
      <c r="P58" s="82">
        <f t="shared" si="2"/>
        <v>66.215000000000003</v>
      </c>
      <c r="Q58" s="82"/>
      <c r="T58" s="92" t="s">
        <v>108</v>
      </c>
      <c r="U58" s="87" t="s">
        <v>565</v>
      </c>
      <c r="W58" s="131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5">
        <f t="shared" si="1"/>
        <v>-2.389864670313846E-2</v>
      </c>
    </row>
    <row r="59" spans="1:31" x14ac:dyDescent="0.25">
      <c r="O59" s="82">
        <v>0.94</v>
      </c>
      <c r="P59" s="82">
        <f t="shared" si="2"/>
        <v>65.518000000000001</v>
      </c>
      <c r="Q59" s="82"/>
      <c r="W59" s="131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5">
        <f t="shared" si="1"/>
        <v>1.253644314868807E-2</v>
      </c>
    </row>
    <row r="60" spans="1:31" x14ac:dyDescent="0.25">
      <c r="O60" s="82">
        <v>0.93</v>
      </c>
      <c r="P60" s="82">
        <f t="shared" si="2"/>
        <v>64.821000000000012</v>
      </c>
      <c r="Q60" s="82"/>
      <c r="W60" s="131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5">
        <f t="shared" si="1"/>
        <v>-1.3517400057521001E-2</v>
      </c>
    </row>
    <row r="61" spans="1:31" x14ac:dyDescent="0.25">
      <c r="O61" s="82">
        <v>0.92</v>
      </c>
      <c r="P61" s="82">
        <f t="shared" si="2"/>
        <v>64.124000000000009</v>
      </c>
      <c r="Q61" s="82"/>
      <c r="W61" s="131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5">
        <f t="shared" si="1"/>
        <v>7.2421784472769257E-3</v>
      </c>
    </row>
    <row r="62" spans="1:31" x14ac:dyDescent="0.25">
      <c r="O62" s="82">
        <v>0.91</v>
      </c>
      <c r="P62" s="82">
        <f t="shared" si="2"/>
        <v>63.427000000000007</v>
      </c>
      <c r="Q62" s="82"/>
      <c r="W62" s="131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5">
        <f t="shared" si="1"/>
        <v>1.4548126377663673E-2</v>
      </c>
    </row>
    <row r="63" spans="1:31" x14ac:dyDescent="0.25">
      <c r="O63" s="82">
        <v>0.9</v>
      </c>
      <c r="P63" s="82">
        <f t="shared" si="2"/>
        <v>62.730000000000004</v>
      </c>
      <c r="Q63" s="82"/>
      <c r="W63" s="131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5">
        <f t="shared" si="1"/>
        <v>-1.4767627045026765E-2</v>
      </c>
    </row>
    <row r="64" spans="1:31" x14ac:dyDescent="0.25">
      <c r="O64" s="34"/>
      <c r="W64" s="131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5">
        <f t="shared" si="1"/>
        <v>-1.4475969889993223E-4</v>
      </c>
    </row>
    <row r="65" spans="15:31" x14ac:dyDescent="0.25">
      <c r="O65" s="34"/>
      <c r="W65" s="131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5">
        <f t="shared" si="1"/>
        <v>-1.3988010276905549E-2</v>
      </c>
    </row>
    <row r="66" spans="15:31" x14ac:dyDescent="0.25">
      <c r="O66" s="34"/>
      <c r="W66" s="131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5">
        <f t="shared" si="1"/>
        <v>1.0237923576063457E-2</v>
      </c>
    </row>
    <row r="67" spans="15:31" x14ac:dyDescent="0.25">
      <c r="W67" s="131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5">
        <f>AC67/AC68-1</f>
        <v>6.0931379660522644E-3</v>
      </c>
    </row>
    <row r="68" spans="15:31" x14ac:dyDescent="0.25">
      <c r="W68" s="131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5" t="e">
        <f>AC68/AC69-1</f>
        <v>#DIV/0!</v>
      </c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94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2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0"/>
      <c r="X2" s="131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5">
        <f>AD2/AD3-1</f>
        <v>-2.2267899965742188E-3</v>
      </c>
    </row>
    <row r="3" spans="1:32" x14ac:dyDescent="0.25">
      <c r="A3" s="23" t="s">
        <v>71</v>
      </c>
      <c r="B3" s="494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7">
        <f>IF(Q2=0, Q4, (F18-K18-M18)/Q2)</f>
        <v>58.057100000000013</v>
      </c>
      <c r="X3" s="131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5">
        <f t="shared" ref="AF3:AF66" si="2">AD3/AD4-1</f>
        <v>-2.9035012809563998E-3</v>
      </c>
    </row>
    <row r="4" spans="1:32" x14ac:dyDescent="0.25">
      <c r="B4" s="452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57.31</v>
      </c>
      <c r="R4" s="497">
        <v>-1.6000000000000001E-3</v>
      </c>
      <c r="X4" s="131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5">
        <f t="shared" si="2"/>
        <v>-7.7952889340789921E-3</v>
      </c>
    </row>
    <row r="5" spans="1:32" x14ac:dyDescent="0.25">
      <c r="B5" s="452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11462</v>
      </c>
      <c r="X5" s="131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5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11611.420000000002</v>
      </c>
      <c r="X6" s="131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5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179</v>
      </c>
      <c r="Q7" s="2">
        <f>Q10+Q8</f>
        <v>-99.470000000002074</v>
      </c>
      <c r="R7">
        <v>200</v>
      </c>
      <c r="X7" s="131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5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181</v>
      </c>
      <c r="P8" s="34"/>
      <c r="Q8" s="2">
        <f>K18+M18-F18+Q2*Q4</f>
        <v>-149.42000000000189</v>
      </c>
      <c r="X8" s="131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5">
        <f t="shared" si="2"/>
        <v>3.7421330158189381E-3</v>
      </c>
    </row>
    <row r="9" spans="1:32" x14ac:dyDescent="0.25">
      <c r="C9" s="4"/>
      <c r="O9" s="11" t="s">
        <v>211</v>
      </c>
      <c r="Q9" s="135">
        <f>IF(Q2=0, 0, Q8/Q6)</f>
        <v>-1.2868365798498536E-2</v>
      </c>
      <c r="X9" s="131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5">
        <f t="shared" si="2"/>
        <v>-6.2542258282622942E-3</v>
      </c>
    </row>
    <row r="10" spans="1:32" x14ac:dyDescent="0.25">
      <c r="O10" s="11" t="s">
        <v>210</v>
      </c>
      <c r="P10" s="34"/>
      <c r="Q10" s="2">
        <f>M56</f>
        <v>49.949999999999818</v>
      </c>
      <c r="X10" s="131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5">
        <f t="shared" si="2"/>
        <v>-3.5371399696816352E-3</v>
      </c>
    </row>
    <row r="11" spans="1:32" x14ac:dyDescent="0.25">
      <c r="O11" s="11" t="s">
        <v>176</v>
      </c>
      <c r="P11" s="34"/>
      <c r="Q11" s="135">
        <f>VALUE(TRIM(CLEAN(MID(U58, FIND("(", U58)+1, 5))))</f>
        <v>3.2500000000000001E-2</v>
      </c>
      <c r="X11" s="131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5">
        <f t="shared" si="2"/>
        <v>7.2955548014930205E-3</v>
      </c>
    </row>
    <row r="12" spans="1:32" x14ac:dyDescent="0.25">
      <c r="X12" s="131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5">
        <f t="shared" si="2"/>
        <v>-1.3721552878179444E-2</v>
      </c>
    </row>
    <row r="13" spans="1:32" x14ac:dyDescent="0.25">
      <c r="X13" s="131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5">
        <f t="shared" si="2"/>
        <v>-8.2973780285430232E-3</v>
      </c>
    </row>
    <row r="14" spans="1:32" x14ac:dyDescent="0.25">
      <c r="X14" s="131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5">
        <f t="shared" si="2"/>
        <v>-6.5941312232112859E-3</v>
      </c>
    </row>
    <row r="15" spans="1:32" x14ac:dyDescent="0.25">
      <c r="X15" s="131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5">
        <f t="shared" si="2"/>
        <v>-2.4666995559942118E-3</v>
      </c>
    </row>
    <row r="16" spans="1:32" x14ac:dyDescent="0.25">
      <c r="X16" s="131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5">
        <f t="shared" si="2"/>
        <v>-5.7226945716153388E-3</v>
      </c>
    </row>
    <row r="17" spans="1:32" x14ac:dyDescent="0.25">
      <c r="X17" s="131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5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170</v>
      </c>
      <c r="X18" s="131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5">
        <f t="shared" si="2"/>
        <v>-9.9140779907469501E-4</v>
      </c>
    </row>
    <row r="19" spans="1:32" x14ac:dyDescent="0.25">
      <c r="X19" s="131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5">
        <f t="shared" si="2"/>
        <v>-8.2549116724450755E-4</v>
      </c>
    </row>
    <row r="20" spans="1:32" x14ac:dyDescent="0.25">
      <c r="X20" s="131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5">
        <f t="shared" si="2"/>
        <v>-9.8960910440382133E-4</v>
      </c>
    </row>
    <row r="21" spans="1:32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J21" s="226" t="s">
        <v>150</v>
      </c>
      <c r="X21" s="131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5">
        <f t="shared" si="2"/>
        <v>9.3224571333445638E-3</v>
      </c>
    </row>
    <row r="22" spans="1:32" x14ac:dyDescent="0.25">
      <c r="B22" s="190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8">
        <f t="shared" ref="H22:H29" si="5">(E22-D22)/D22</f>
        <v>-2.8524492234169606E-2</v>
      </c>
      <c r="I22" s="40"/>
      <c r="J22" s="40"/>
      <c r="X22" s="131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5">
        <f t="shared" si="2"/>
        <v>-2.9875518672198842E-3</v>
      </c>
    </row>
    <row r="23" spans="1:32" x14ac:dyDescent="0.25">
      <c r="B23" s="190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8">
        <f t="shared" si="5"/>
        <v>-2.5388291517323608E-2</v>
      </c>
      <c r="I23" s="40"/>
      <c r="J23" s="40"/>
      <c r="X23" s="131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5">
        <f t="shared" si="2"/>
        <v>-2.9786529869270106E-3</v>
      </c>
    </row>
    <row r="24" spans="1:32" x14ac:dyDescent="0.25">
      <c r="B24" s="190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8">
        <f t="shared" si="5"/>
        <v>-3.4498207885304485E-2</v>
      </c>
      <c r="I24" s="40"/>
      <c r="J24" s="40"/>
      <c r="X24" s="131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5">
        <f t="shared" si="2"/>
        <v>-4.9398979087764694E-3</v>
      </c>
    </row>
    <row r="25" spans="1:32" x14ac:dyDescent="0.25">
      <c r="B25" s="190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8">
        <f t="shared" si="5"/>
        <v>-4.5698924731182727E-2</v>
      </c>
      <c r="I25" s="40"/>
      <c r="J25" s="40"/>
      <c r="X25" s="131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5">
        <f t="shared" si="2"/>
        <v>-2.9551797734361784E-3</v>
      </c>
    </row>
    <row r="26" spans="1:32" x14ac:dyDescent="0.25">
      <c r="B26" s="190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8">
        <f t="shared" si="5"/>
        <v>-5.8393070489844635E-2</v>
      </c>
      <c r="I26" s="40"/>
      <c r="J26" s="40"/>
      <c r="X26" s="131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5">
        <f t="shared" si="2"/>
        <v>5.9454995871179861E-3</v>
      </c>
    </row>
    <row r="27" spans="1:32" x14ac:dyDescent="0.25">
      <c r="B27" s="190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8">
        <f t="shared" si="5"/>
        <v>-5.8393070489844635E-2</v>
      </c>
      <c r="I27" s="40"/>
      <c r="J27" s="40"/>
      <c r="X27" s="131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5">
        <f t="shared" si="2"/>
        <v>2.9816133841311654E-3</v>
      </c>
    </row>
    <row r="28" spans="1:32" x14ac:dyDescent="0.25">
      <c r="B28" s="190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8">
        <f t="shared" si="5"/>
        <v>-7.2132616487455073E-2</v>
      </c>
      <c r="I28" s="40"/>
      <c r="J28" s="40"/>
      <c r="X28" s="131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5">
        <f t="shared" si="2"/>
        <v>7.1738405071737343E-3</v>
      </c>
    </row>
    <row r="29" spans="1:32" x14ac:dyDescent="0.25">
      <c r="B29" s="190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8">
        <f t="shared" si="5"/>
        <v>-4.6428013131155209E-2</v>
      </c>
      <c r="I29" s="40"/>
      <c r="J29" s="40"/>
      <c r="X29" s="131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5">
        <f t="shared" si="2"/>
        <v>-2.3301287273912341E-2</v>
      </c>
    </row>
    <row r="30" spans="1:32" x14ac:dyDescent="0.25">
      <c r="B30" s="190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8">
        <f t="shared" ref="H30:H35" si="8">(E30-D30)/D30</f>
        <v>-2.2438412050839476E-2</v>
      </c>
      <c r="I30" s="40"/>
      <c r="J30" s="40"/>
      <c r="X30" s="131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5">
        <f t="shared" si="2"/>
        <v>9.7071405067454819E-3</v>
      </c>
    </row>
    <row r="31" spans="1:32" x14ac:dyDescent="0.25">
      <c r="B31" s="190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8">
        <f t="shared" si="8"/>
        <v>-4.3778440294994496E-2</v>
      </c>
      <c r="I31" s="40"/>
      <c r="J31" s="40"/>
      <c r="X31" s="131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5">
        <f t="shared" si="2"/>
        <v>3.1358309952136398E-3</v>
      </c>
    </row>
    <row r="32" spans="1:32" x14ac:dyDescent="0.25">
      <c r="B32" s="190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8">
        <f t="shared" si="8"/>
        <v>-2.4007531774674316E-2</v>
      </c>
      <c r="I32" s="40"/>
      <c r="J32" s="40"/>
      <c r="X32" s="131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5">
        <f t="shared" si="2"/>
        <v>-7.046869878728268E-3</v>
      </c>
    </row>
    <row r="33" spans="1:32" x14ac:dyDescent="0.25">
      <c r="B33" s="190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8">
        <f t="shared" si="8"/>
        <v>-1.1297662011611469E-2</v>
      </c>
      <c r="I33" s="40"/>
      <c r="J33" s="40"/>
      <c r="X33" s="131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5">
        <f t="shared" si="2"/>
        <v>3.0221171703528782E-2</v>
      </c>
    </row>
    <row r="34" spans="1:32" x14ac:dyDescent="0.25">
      <c r="A34" t="s">
        <v>364</v>
      </c>
      <c r="B34" s="190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8">
        <f t="shared" si="8"/>
        <v>-2.4189723320158122E-2</v>
      </c>
      <c r="I34" s="40"/>
      <c r="J34" s="40"/>
      <c r="X34" s="131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5">
        <f t="shared" si="2"/>
        <v>-3.7536561585960415E-2</v>
      </c>
    </row>
    <row r="35" spans="1:32" x14ac:dyDescent="0.25">
      <c r="A35" t="s">
        <v>456</v>
      </c>
      <c r="B35" s="190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8">
        <f t="shared" si="8"/>
        <v>-6.0293991759444322E-3</v>
      </c>
      <c r="I35" s="40"/>
      <c r="J35" s="40"/>
      <c r="X35" s="131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5">
        <f t="shared" si="2"/>
        <v>-2.6111726539009283E-2</v>
      </c>
    </row>
    <row r="36" spans="1:32" x14ac:dyDescent="0.25">
      <c r="A36">
        <v>50</v>
      </c>
      <c r="B36" s="190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8">
        <f t="shared" ref="H36:H42" si="11">(E36-D36)/D36</f>
        <v>-1.2167014195657523E-2</v>
      </c>
      <c r="I36" s="40"/>
      <c r="J36" s="40">
        <v>-6.55</v>
      </c>
      <c r="X36" s="131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5">
        <f t="shared" si="2"/>
        <v>1.5850372483752206E-3</v>
      </c>
    </row>
    <row r="37" spans="1:32" x14ac:dyDescent="0.25">
      <c r="A37">
        <v>75</v>
      </c>
      <c r="B37" s="190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8">
        <f t="shared" si="11"/>
        <v>-4.6523097156008525E-2</v>
      </c>
      <c r="I37" s="40"/>
      <c r="J37" s="40">
        <v>-251</v>
      </c>
      <c r="X37" s="131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5">
        <f t="shared" si="2"/>
        <v>3.1801558276356445E-3</v>
      </c>
    </row>
    <row r="38" spans="1:32" x14ac:dyDescent="0.25">
      <c r="A38">
        <v>75</v>
      </c>
      <c r="B38" s="190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8">
        <f t="shared" si="11"/>
        <v>-3.4592783108634707E-2</v>
      </c>
      <c r="I38" s="40"/>
      <c r="J38" s="40">
        <v>-260</v>
      </c>
      <c r="X38" s="131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5">
        <f t="shared" si="2"/>
        <v>2.0713830465264316E-3</v>
      </c>
    </row>
    <row r="39" spans="1:32" x14ac:dyDescent="0.25">
      <c r="A39">
        <v>75</v>
      </c>
      <c r="B39" s="190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8">
        <f t="shared" si="11"/>
        <v>-6.1092772496331292E-2</v>
      </c>
      <c r="I39" s="40"/>
      <c r="J39" s="40">
        <v>-496</v>
      </c>
      <c r="X39" s="131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5">
        <f t="shared" si="2"/>
        <v>-4.7573739295909689E-3</v>
      </c>
    </row>
    <row r="40" spans="1:32" x14ac:dyDescent="0.25">
      <c r="A40">
        <v>100</v>
      </c>
      <c r="B40" s="190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8">
        <f t="shared" si="11"/>
        <v>-3.79449294828745E-2</v>
      </c>
      <c r="I40" s="40"/>
      <c r="J40" s="40">
        <v>-289</v>
      </c>
      <c r="X40" s="131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5">
        <f t="shared" si="2"/>
        <v>1.3500482160077265E-2</v>
      </c>
    </row>
    <row r="41" spans="1:32" ht="20.25" thickBot="1" x14ac:dyDescent="0.35">
      <c r="A41">
        <v>100</v>
      </c>
      <c r="B41" s="190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8">
        <f t="shared" si="11"/>
        <v>-3.2597623089983055E-2</v>
      </c>
      <c r="I41" s="40"/>
      <c r="J41" s="40">
        <v>-333</v>
      </c>
      <c r="O41" s="716" t="s">
        <v>78</v>
      </c>
      <c r="P41" s="716"/>
      <c r="X41" s="131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5">
        <f t="shared" si="2"/>
        <v>6.4703979294726821E-3</v>
      </c>
    </row>
    <row r="42" spans="1:32" ht="21" thickTop="1" thickBot="1" x14ac:dyDescent="0.35">
      <c r="A42">
        <v>100</v>
      </c>
      <c r="B42" s="190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8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63.041000000000011</v>
      </c>
      <c r="Q42" s="2"/>
      <c r="T42" s="90"/>
      <c r="X42" s="131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5">
        <f t="shared" si="2"/>
        <v>6.1848958333334814E-3</v>
      </c>
    </row>
    <row r="43" spans="1:32" ht="15.75" thickTop="1" x14ac:dyDescent="0.25">
      <c r="A43">
        <v>200</v>
      </c>
      <c r="B43" s="190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8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62.467900000000007</v>
      </c>
      <c r="Q43" s="2"/>
      <c r="T43" s="126" t="s">
        <v>97</v>
      </c>
      <c r="U43" s="127">
        <v>58.38</v>
      </c>
      <c r="X43" s="131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5">
        <f t="shared" si="2"/>
        <v>-2.0564323290291675E-2</v>
      </c>
    </row>
    <row r="44" spans="1:32" x14ac:dyDescent="0.25">
      <c r="A44">
        <v>200</v>
      </c>
      <c r="B44" s="190">
        <v>42949</v>
      </c>
      <c r="C44" s="10">
        <v>200</v>
      </c>
      <c r="D44" s="40">
        <v>58.057000000000002</v>
      </c>
      <c r="E44" s="40">
        <v>56.07</v>
      </c>
      <c r="F44" s="40">
        <f t="shared" ref="F44" si="16">C44*(E44-D44)</f>
        <v>-397.40000000000038</v>
      </c>
      <c r="G44" s="40">
        <f t="shared" ref="G44" si="17">D44*C44</f>
        <v>11611.4</v>
      </c>
      <c r="H44" s="228">
        <f t="shared" ref="H44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61.894800000000004</v>
      </c>
      <c r="Q44" s="2"/>
      <c r="T44" s="92" t="s">
        <v>98</v>
      </c>
      <c r="U44" s="128">
        <v>58.44</v>
      </c>
      <c r="X44" s="131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5">
        <f t="shared" si="2"/>
        <v>1.6364225534672761E-2</v>
      </c>
    </row>
    <row r="45" spans="1:32" x14ac:dyDescent="0.25">
      <c r="B45" s="190"/>
      <c r="C45" s="10"/>
      <c r="D45" s="40"/>
      <c r="E45" s="40"/>
      <c r="F45" s="40"/>
      <c r="G45" s="40"/>
      <c r="H45" s="228"/>
      <c r="I45" s="40"/>
      <c r="J45" s="40"/>
      <c r="O45" s="82">
        <v>1.07</v>
      </c>
      <c r="P45" s="82">
        <f t="shared" si="15"/>
        <v>61.321700000000007</v>
      </c>
      <c r="Q45" s="2"/>
      <c r="T45" s="92" t="s">
        <v>99</v>
      </c>
      <c r="U45" s="128" t="s">
        <v>128</v>
      </c>
      <c r="X45" s="131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5">
        <f t="shared" si="2"/>
        <v>5.7031122698387726E-3</v>
      </c>
    </row>
    <row r="46" spans="1:32" x14ac:dyDescent="0.25">
      <c r="B46" s="190"/>
      <c r="C46" s="10"/>
      <c r="D46" s="40"/>
      <c r="E46" s="40"/>
      <c r="F46" s="40"/>
      <c r="G46" s="40"/>
      <c r="H46" s="228"/>
      <c r="I46" s="40"/>
      <c r="J46" s="40"/>
      <c r="O46" s="82">
        <v>1.06</v>
      </c>
      <c r="P46" s="82">
        <f t="shared" si="15"/>
        <v>60.748600000000003</v>
      </c>
      <c r="Q46" s="2"/>
      <c r="T46" s="92" t="s">
        <v>100</v>
      </c>
      <c r="U46" s="128" t="s">
        <v>128</v>
      </c>
      <c r="X46" s="131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5">
        <f t="shared" si="2"/>
        <v>-1.7765685019206168E-2</v>
      </c>
    </row>
    <row r="47" spans="1:32" x14ac:dyDescent="0.25">
      <c r="B47" s="190"/>
      <c r="C47" s="10"/>
      <c r="D47" s="40"/>
      <c r="E47" s="40"/>
      <c r="F47" s="40"/>
      <c r="G47" s="40"/>
      <c r="H47" s="228"/>
      <c r="I47" s="40"/>
      <c r="J47" s="40"/>
      <c r="O47" s="82">
        <v>1.05</v>
      </c>
      <c r="P47" s="82">
        <f t="shared" si="15"/>
        <v>60.175500000000007</v>
      </c>
      <c r="Q47" s="2"/>
      <c r="T47" s="92" t="s">
        <v>101</v>
      </c>
      <c r="U47" s="128">
        <v>60.75</v>
      </c>
      <c r="X47" s="131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5">
        <f t="shared" si="2"/>
        <v>-1.9169329073482899E-3</v>
      </c>
    </row>
    <row r="48" spans="1:32" x14ac:dyDescent="0.25">
      <c r="B48" s="190"/>
      <c r="C48" s="10"/>
      <c r="D48" s="40"/>
      <c r="E48" s="40"/>
      <c r="F48" s="40"/>
      <c r="G48" s="40"/>
      <c r="H48" s="228"/>
      <c r="I48" s="40"/>
      <c r="J48" s="40"/>
      <c r="O48" s="82">
        <v>1.04</v>
      </c>
      <c r="P48" s="82">
        <f t="shared" si="15"/>
        <v>59.602400000000003</v>
      </c>
      <c r="Q48" s="2"/>
      <c r="T48" s="92" t="s">
        <v>102</v>
      </c>
      <c r="U48" s="128">
        <v>0.53062699999999996</v>
      </c>
      <c r="X48" s="131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5">
        <f t="shared" si="2"/>
        <v>-1.913265306122458E-3</v>
      </c>
    </row>
    <row r="49" spans="1:32" x14ac:dyDescent="0.25">
      <c r="B49" s="190"/>
      <c r="C49" s="10"/>
      <c r="D49" s="40"/>
      <c r="E49" s="40"/>
      <c r="F49" s="40"/>
      <c r="G49" s="40"/>
      <c r="H49" s="228"/>
      <c r="I49" s="40"/>
      <c r="J49" s="40"/>
      <c r="O49" s="82">
        <v>1.03</v>
      </c>
      <c r="P49" s="82">
        <f t="shared" si="15"/>
        <v>59.029300000000006</v>
      </c>
      <c r="Q49" s="2"/>
      <c r="T49" s="92" t="s">
        <v>121</v>
      </c>
      <c r="U49" s="128" t="s">
        <v>562</v>
      </c>
      <c r="X49" s="131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5">
        <f t="shared" si="2"/>
        <v>3.1897926634760765E-4</v>
      </c>
    </row>
    <row r="50" spans="1:32" x14ac:dyDescent="0.25">
      <c r="B50" s="190"/>
      <c r="C50" s="10"/>
      <c r="D50" s="40"/>
      <c r="E50" s="40"/>
      <c r="F50" s="40"/>
      <c r="G50" s="40"/>
      <c r="H50" s="228"/>
      <c r="I50" s="40"/>
      <c r="J50" s="40"/>
      <c r="O50" s="82">
        <v>1.02</v>
      </c>
      <c r="P50" s="82">
        <f t="shared" si="15"/>
        <v>58.456200000000003</v>
      </c>
      <c r="Q50" s="2"/>
      <c r="T50" s="92"/>
      <c r="U50" s="128"/>
      <c r="X50" s="131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5">
        <f t="shared" si="2"/>
        <v>-4.9198539914298012E-3</v>
      </c>
    </row>
    <row r="51" spans="1:32" x14ac:dyDescent="0.25">
      <c r="B51" s="190"/>
      <c r="C51" s="10"/>
      <c r="D51" s="40"/>
      <c r="E51" s="40"/>
      <c r="F51" s="40"/>
      <c r="G51" s="40"/>
      <c r="H51" s="228"/>
      <c r="I51" s="40"/>
      <c r="J51" s="40"/>
      <c r="O51" s="82">
        <v>1.01</v>
      </c>
      <c r="P51" s="82">
        <f t="shared" si="15"/>
        <v>57.883100000000006</v>
      </c>
      <c r="Q51" s="2"/>
      <c r="T51" s="92" t="s">
        <v>104</v>
      </c>
      <c r="U51" s="128" t="s">
        <v>725</v>
      </c>
      <c r="X51" s="131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5">
        <f t="shared" si="2"/>
        <v>5.4252433381203335E-3</v>
      </c>
    </row>
    <row r="52" spans="1:32" x14ac:dyDescent="0.25">
      <c r="B52" s="190"/>
      <c r="C52" s="10"/>
      <c r="D52" s="40"/>
      <c r="E52" s="40"/>
      <c r="F52" s="40"/>
      <c r="G52" s="40"/>
      <c r="H52" s="228"/>
      <c r="I52" s="40"/>
      <c r="J52" s="40"/>
      <c r="O52" s="82">
        <v>1</v>
      </c>
      <c r="P52" s="82">
        <f t="shared" si="15"/>
        <v>57.31</v>
      </c>
      <c r="Q52" s="2"/>
      <c r="T52" s="92" t="s">
        <v>105</v>
      </c>
      <c r="U52" s="128" t="s">
        <v>726</v>
      </c>
      <c r="X52" s="131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5">
        <f t="shared" si="2"/>
        <v>8.8538312942691988E-3</v>
      </c>
    </row>
    <row r="53" spans="1:32" x14ac:dyDescent="0.25">
      <c r="B53" s="190"/>
      <c r="C53" s="10"/>
      <c r="D53" s="40"/>
      <c r="E53" s="40"/>
      <c r="F53" s="40"/>
      <c r="G53" s="40"/>
      <c r="H53" s="228"/>
      <c r="I53" s="40"/>
      <c r="J53" s="40"/>
      <c r="O53" s="82">
        <v>0.99</v>
      </c>
      <c r="P53" s="82">
        <f t="shared" si="15"/>
        <v>56.736899999999999</v>
      </c>
      <c r="Q53" s="2"/>
      <c r="T53" s="503" t="s">
        <v>106</v>
      </c>
      <c r="U53" s="129">
        <v>3185042</v>
      </c>
      <c r="X53" s="131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5">
        <f t="shared" si="2"/>
        <v>-4.806151874399256E-3</v>
      </c>
    </row>
    <row r="54" spans="1:32" x14ac:dyDescent="0.25">
      <c r="O54" s="82">
        <v>0.98</v>
      </c>
      <c r="P54" s="82">
        <f t="shared" si="15"/>
        <v>56.163800000000002</v>
      </c>
      <c r="Q54" s="2"/>
      <c r="T54" s="503" t="s">
        <v>109</v>
      </c>
      <c r="U54" s="129">
        <v>3236780</v>
      </c>
      <c r="X54" s="131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5">
        <f t="shared" si="2"/>
        <v>1.2489862124898776E-2</v>
      </c>
    </row>
    <row r="55" spans="1:32" x14ac:dyDescent="0.25">
      <c r="O55" s="82">
        <v>0.97</v>
      </c>
      <c r="P55" s="82">
        <f t="shared" si="15"/>
        <v>55.590699999999998</v>
      </c>
      <c r="T55" s="92" t="s">
        <v>107</v>
      </c>
      <c r="U55" s="128" t="s">
        <v>727</v>
      </c>
      <c r="X55" s="131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5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2">
        <v>0.96</v>
      </c>
      <c r="P56" s="82">
        <f t="shared" si="15"/>
        <v>55.017600000000002</v>
      </c>
      <c r="T56" s="92" t="s">
        <v>110</v>
      </c>
      <c r="U56" s="128">
        <v>21.58</v>
      </c>
      <c r="X56" s="131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5">
        <f t="shared" si="2"/>
        <v>1.6134236850597894E-3</v>
      </c>
    </row>
    <row r="57" spans="1:32" x14ac:dyDescent="0.25">
      <c r="A57" s="382" t="s">
        <v>1</v>
      </c>
      <c r="B57" s="382" t="s">
        <v>2</v>
      </c>
      <c r="C57" s="382" t="s">
        <v>4</v>
      </c>
      <c r="D57" s="384" t="s">
        <v>5</v>
      </c>
      <c r="E57" s="384" t="s">
        <v>94</v>
      </c>
      <c r="F57" s="384" t="s">
        <v>60</v>
      </c>
      <c r="G57" s="382" t="s">
        <v>3</v>
      </c>
      <c r="H57" s="382" t="s">
        <v>6</v>
      </c>
      <c r="I57" s="382" t="s">
        <v>7</v>
      </c>
      <c r="J57" s="382" t="s">
        <v>95</v>
      </c>
      <c r="K57" s="382" t="s">
        <v>61</v>
      </c>
      <c r="L57" s="382" t="s">
        <v>77</v>
      </c>
      <c r="M57" s="382" t="s">
        <v>38</v>
      </c>
      <c r="O57" s="82">
        <v>0.95</v>
      </c>
      <c r="P57" s="82">
        <f t="shared" si="15"/>
        <v>54.444499999999998</v>
      </c>
      <c r="T57" s="92" t="s">
        <v>111</v>
      </c>
      <c r="U57" s="128">
        <v>2.7</v>
      </c>
      <c r="X57" s="131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5">
        <f t="shared" si="2"/>
        <v>1.4734774066797574E-2</v>
      </c>
    </row>
    <row r="58" spans="1:32" x14ac:dyDescent="0.25">
      <c r="A58" s="385" t="s">
        <v>171</v>
      </c>
      <c r="B58" s="387">
        <v>42376</v>
      </c>
      <c r="C58" s="376">
        <v>50</v>
      </c>
      <c r="D58" s="377">
        <v>55.15</v>
      </c>
      <c r="E58" s="377">
        <v>0</v>
      </c>
      <c r="F58" s="377">
        <f>C58*D58+E58</f>
        <v>2757.5</v>
      </c>
      <c r="G58" s="375">
        <v>42409</v>
      </c>
      <c r="H58" s="380">
        <v>50</v>
      </c>
      <c r="I58" s="377">
        <v>56.15</v>
      </c>
      <c r="J58" s="377">
        <v>0.05</v>
      </c>
      <c r="K58" s="376">
        <f>H58*I58-J58</f>
        <v>2807.45</v>
      </c>
      <c r="L58" s="375"/>
      <c r="M58" s="377"/>
      <c r="O58" s="82">
        <v>0.94</v>
      </c>
      <c r="P58" s="82">
        <f t="shared" si="15"/>
        <v>53.871400000000001</v>
      </c>
      <c r="T58" s="92" t="s">
        <v>108</v>
      </c>
      <c r="U58" s="128" t="s">
        <v>601</v>
      </c>
      <c r="X58" s="131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5">
        <f t="shared" si="2"/>
        <v>-3.1010282356782604E-3</v>
      </c>
    </row>
    <row r="59" spans="1:32" x14ac:dyDescent="0.25">
      <c r="A59" s="386" t="s">
        <v>71</v>
      </c>
      <c r="B59" s="387"/>
      <c r="C59" s="376"/>
      <c r="D59" s="377"/>
      <c r="E59" s="377"/>
      <c r="F59" s="377"/>
      <c r="G59" s="375"/>
      <c r="H59" s="376"/>
      <c r="I59" s="376"/>
      <c r="J59" s="376"/>
      <c r="K59" s="376"/>
      <c r="L59" s="376"/>
      <c r="M59" s="376"/>
      <c r="O59" s="82">
        <v>0.93</v>
      </c>
      <c r="P59" s="82">
        <f t="shared" si="15"/>
        <v>53.298300000000005</v>
      </c>
      <c r="X59" s="131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5">
        <f t="shared" si="2"/>
        <v>4.7556575926535061E-3</v>
      </c>
    </row>
    <row r="60" spans="1:32" x14ac:dyDescent="0.25">
      <c r="A60" s="376"/>
      <c r="B60" s="375"/>
      <c r="C60" s="376"/>
      <c r="D60" s="377"/>
      <c r="E60" s="377"/>
      <c r="F60" s="377"/>
      <c r="G60" s="376"/>
      <c r="H60" s="376"/>
      <c r="I60" s="376"/>
      <c r="J60" s="376"/>
      <c r="K60" s="376"/>
      <c r="L60" s="376"/>
      <c r="M60" s="376"/>
      <c r="O60" s="82">
        <v>0.92</v>
      </c>
      <c r="P60" s="82">
        <f t="shared" si="15"/>
        <v>52.725200000000001</v>
      </c>
      <c r="X60" s="131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5">
        <f t="shared" si="2"/>
        <v>8.7675765095118763E-3</v>
      </c>
    </row>
    <row r="61" spans="1:32" x14ac:dyDescent="0.25">
      <c r="A61" s="376"/>
      <c r="B61" s="375"/>
      <c r="C61" s="376"/>
      <c r="D61" s="377"/>
      <c r="E61" s="377"/>
      <c r="F61" s="377"/>
      <c r="G61" s="376"/>
      <c r="H61" s="376"/>
      <c r="I61" s="376"/>
      <c r="J61" s="376"/>
      <c r="K61" s="376"/>
      <c r="L61" s="376"/>
      <c r="M61" s="376"/>
      <c r="O61" s="82">
        <v>0.91</v>
      </c>
      <c r="P61" s="82">
        <f t="shared" si="15"/>
        <v>52.152100000000004</v>
      </c>
      <c r="X61" s="131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5">
        <f t="shared" si="2"/>
        <v>-1.8163804491413416E-3</v>
      </c>
    </row>
    <row r="62" spans="1:32" x14ac:dyDescent="0.25">
      <c r="A62" s="376"/>
      <c r="B62" s="376"/>
      <c r="C62" s="376"/>
      <c r="D62" s="377"/>
      <c r="E62" s="377"/>
      <c r="F62" s="377"/>
      <c r="G62" s="376"/>
      <c r="H62" s="376"/>
      <c r="I62" s="376"/>
      <c r="J62" s="376"/>
      <c r="K62" s="376"/>
      <c r="L62" s="376"/>
      <c r="M62" s="376"/>
      <c r="O62" s="82">
        <v>0.9</v>
      </c>
      <c r="P62" s="82">
        <f t="shared" si="15"/>
        <v>51.579000000000001</v>
      </c>
      <c r="X62" s="131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5">
        <f t="shared" si="2"/>
        <v>-1.4803969415975171E-2</v>
      </c>
    </row>
    <row r="63" spans="1:32" x14ac:dyDescent="0.25">
      <c r="A63" s="376"/>
      <c r="B63" s="376"/>
      <c r="C63" s="376"/>
      <c r="D63" s="377"/>
      <c r="E63" s="377"/>
      <c r="F63" s="377"/>
      <c r="G63" s="376"/>
      <c r="H63" s="376"/>
      <c r="I63" s="376"/>
      <c r="J63" s="376"/>
      <c r="K63" s="376"/>
      <c r="L63" s="376"/>
      <c r="M63" s="376"/>
      <c r="X63" s="131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5" t="e">
        <f t="shared" si="2"/>
        <v>#DIV/0!</v>
      </c>
    </row>
    <row r="64" spans="1:32" x14ac:dyDescent="0.25">
      <c r="A64" s="376"/>
      <c r="B64" s="376"/>
      <c r="C64" s="376"/>
      <c r="D64" s="377"/>
      <c r="E64" s="377"/>
      <c r="F64" s="377"/>
      <c r="G64" s="376"/>
      <c r="H64" s="376"/>
      <c r="I64" s="376"/>
      <c r="J64" s="376"/>
      <c r="K64" s="376"/>
      <c r="L64" s="376"/>
      <c r="M64" s="376"/>
      <c r="X64" s="131">
        <v>42741</v>
      </c>
      <c r="Y64" s="10" t="s">
        <v>233</v>
      </c>
      <c r="Z64" s="10"/>
      <c r="AA64" s="10"/>
      <c r="AB64" s="10"/>
      <c r="AC64" s="94"/>
      <c r="AD64" s="10"/>
      <c r="AE64" s="2">
        <f t="shared" si="1"/>
        <v>0</v>
      </c>
      <c r="AF64" s="135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1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5">
        <f t="shared" si="2"/>
        <v>2.9225523623965799E-3</v>
      </c>
    </row>
    <row r="66" spans="1:32" x14ac:dyDescent="0.25">
      <c r="A66" s="376"/>
      <c r="B66" s="376"/>
      <c r="C66" s="376"/>
      <c r="D66" s="377"/>
      <c r="E66" s="377"/>
      <c r="F66" s="377"/>
      <c r="G66" s="376"/>
      <c r="H66" s="376"/>
      <c r="I66" s="376"/>
      <c r="J66" s="376"/>
      <c r="K66" s="376"/>
      <c r="L66" s="376"/>
      <c r="M66" s="376"/>
      <c r="X66" s="131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5">
        <f t="shared" si="2"/>
        <v>-3.246226261970353E-4</v>
      </c>
    </row>
    <row r="67" spans="1:32" x14ac:dyDescent="0.25">
      <c r="X67" s="131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5">
        <f>AD67/AD68-1</f>
        <v>5.2210801109480176E-3</v>
      </c>
    </row>
    <row r="68" spans="1:32" x14ac:dyDescent="0.25">
      <c r="X68" s="131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5" t="e">
        <f>AD68/AD69-1</f>
        <v>#DIV/0!</v>
      </c>
    </row>
    <row r="69" spans="1:32" x14ac:dyDescent="0.25">
      <c r="X69" s="131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5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1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0"/>
      <c r="W2" s="131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5">
        <f>AC2/AC3-1</f>
        <v>-7.8786110300554935E-3</v>
      </c>
    </row>
    <row r="3" spans="1:31" x14ac:dyDescent="0.25">
      <c r="A3" s="23" t="s">
        <v>71</v>
      </c>
      <c r="B3" s="161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35.54</v>
      </c>
      <c r="W3" s="131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5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35.54</v>
      </c>
      <c r="R4" s="497">
        <v>2E-3</v>
      </c>
      <c r="W4" s="131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5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5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5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1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5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5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5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M29</f>
        <v>36.819999999999709</v>
      </c>
      <c r="W10" s="131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5">
        <f t="shared" si="1"/>
        <v>8.7565674255694059E-3</v>
      </c>
    </row>
    <row r="11" spans="1:31" x14ac:dyDescent="0.25">
      <c r="O11" s="11" t="s">
        <v>176</v>
      </c>
      <c r="P11" s="34"/>
      <c r="Q11" s="135">
        <f>VALUE(TRIM(CLEAN(MID(U58, FIND("(", U58)+1, 5))))</f>
        <v>4.2999999999999997E-2</v>
      </c>
      <c r="W11" s="131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5">
        <f t="shared" si="1"/>
        <v>-3.7801686536784729E-3</v>
      </c>
    </row>
    <row r="12" spans="1:31" x14ac:dyDescent="0.25">
      <c r="W12" s="131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5">
        <f t="shared" si="1"/>
        <v>-4.6309696092617925E-3</v>
      </c>
    </row>
    <row r="13" spans="1:31" x14ac:dyDescent="0.25">
      <c r="W13" s="131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5">
        <f t="shared" si="1"/>
        <v>-3.2483898067768191E-2</v>
      </c>
    </row>
    <row r="14" spans="1:31" x14ac:dyDescent="0.25">
      <c r="W14" s="131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5">
        <f t="shared" si="1"/>
        <v>-1.7065785851912985E-2</v>
      </c>
    </row>
    <row r="15" spans="1:31" x14ac:dyDescent="0.25">
      <c r="W15" s="131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5">
        <f t="shared" si="1"/>
        <v>-2.0226537216828433E-2</v>
      </c>
    </row>
    <row r="16" spans="1:31" x14ac:dyDescent="0.25">
      <c r="W16" s="131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5">
        <f t="shared" si="1"/>
        <v>-2.6961445133477646E-4</v>
      </c>
    </row>
    <row r="17" spans="1:31" x14ac:dyDescent="0.25">
      <c r="W17" s="131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5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1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5">
        <f t="shared" si="1"/>
        <v>2.4410089503661414E-3</v>
      </c>
    </row>
    <row r="19" spans="1:31" x14ac:dyDescent="0.25">
      <c r="W19" s="131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5">
        <f t="shared" si="1"/>
        <v>1.0860711376594612E-3</v>
      </c>
    </row>
    <row r="20" spans="1:31" x14ac:dyDescent="0.25">
      <c r="W20" s="131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5">
        <f t="shared" si="1"/>
        <v>0</v>
      </c>
    </row>
    <row r="21" spans="1:31" x14ac:dyDescent="0.25">
      <c r="B21" s="188" t="s">
        <v>113</v>
      </c>
      <c r="C21" s="188" t="s">
        <v>146</v>
      </c>
      <c r="D21" s="189" t="s">
        <v>145</v>
      </c>
      <c r="E21" s="191" t="s">
        <v>147</v>
      </c>
      <c r="F21" s="191" t="s">
        <v>65</v>
      </c>
      <c r="G21" s="226" t="s">
        <v>151</v>
      </c>
      <c r="H21" s="226" t="s">
        <v>88</v>
      </c>
      <c r="I21" s="226" t="s">
        <v>154</v>
      </c>
      <c r="W21" s="131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5">
        <f t="shared" si="1"/>
        <v>-1.1805741883552545E-2</v>
      </c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5" t="e">
        <f t="shared" si="1"/>
        <v>#DIV/0!</v>
      </c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 t="s">
        <v>185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5">
        <f t="shared" si="1"/>
        <v>-1.0391686650679466E-2</v>
      </c>
    </row>
    <row r="25" spans="1:31" x14ac:dyDescent="0.25">
      <c r="B25" s="190"/>
      <c r="C25" s="10"/>
      <c r="D25" s="40"/>
      <c r="E25" s="40"/>
      <c r="F25" s="40"/>
      <c r="G25" s="40"/>
      <c r="H25" s="228"/>
      <c r="I25" s="40"/>
      <c r="W25" s="131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5">
        <f t="shared" si="1"/>
        <v>-8.1923890063425597E-3</v>
      </c>
    </row>
    <row r="26" spans="1:31" x14ac:dyDescent="0.25">
      <c r="B26" s="190"/>
      <c r="C26" s="10"/>
      <c r="D26" s="40"/>
      <c r="E26" s="40"/>
      <c r="F26" s="40"/>
      <c r="G26" s="40"/>
      <c r="H26" s="228"/>
      <c r="I26" s="40"/>
      <c r="W26" s="131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5">
        <f t="shared" si="1"/>
        <v>1.2306046013911276E-2</v>
      </c>
    </row>
    <row r="27" spans="1:31" x14ac:dyDescent="0.25">
      <c r="W27" s="131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5">
        <f t="shared" si="1"/>
        <v>8.9068825910931793E-3</v>
      </c>
    </row>
    <row r="28" spans="1:31" x14ac:dyDescent="0.25">
      <c r="W28" s="131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5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1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5">
        <f t="shared" si="1"/>
        <v>-1.1385199240986799E-2</v>
      </c>
    </row>
    <row r="30" spans="1:31" x14ac:dyDescent="0.25">
      <c r="A30" s="382" t="s">
        <v>1</v>
      </c>
      <c r="B30" s="382" t="s">
        <v>2</v>
      </c>
      <c r="C30" s="382" t="s">
        <v>4</v>
      </c>
      <c r="D30" s="384" t="s">
        <v>5</v>
      </c>
      <c r="E30" s="384"/>
      <c r="F30" s="384" t="s">
        <v>60</v>
      </c>
      <c r="G30" s="382" t="s">
        <v>3</v>
      </c>
      <c r="H30" s="382" t="s">
        <v>6</v>
      </c>
      <c r="I30" s="382" t="s">
        <v>7</v>
      </c>
      <c r="J30" s="382"/>
      <c r="K30" s="382" t="s">
        <v>61</v>
      </c>
      <c r="L30" s="382" t="s">
        <v>77</v>
      </c>
      <c r="M30" s="382" t="s">
        <v>38</v>
      </c>
      <c r="W30" s="131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5">
        <f t="shared" si="1"/>
        <v>9.8549137695045363E-3</v>
      </c>
    </row>
    <row r="31" spans="1:31" x14ac:dyDescent="0.25">
      <c r="A31" s="385" t="s">
        <v>56</v>
      </c>
      <c r="B31" s="723">
        <v>42220</v>
      </c>
      <c r="C31" s="376">
        <v>40</v>
      </c>
      <c r="D31" s="377">
        <v>31.78</v>
      </c>
      <c r="E31" s="377"/>
      <c r="F31" s="377">
        <f>C31*D31</f>
        <v>1271.2</v>
      </c>
      <c r="G31" s="375">
        <v>42235</v>
      </c>
      <c r="H31" s="376">
        <v>100</v>
      </c>
      <c r="I31" s="377">
        <v>31.5</v>
      </c>
      <c r="J31" s="376">
        <v>0.06</v>
      </c>
      <c r="K31" s="376">
        <f>H31*I31-J31</f>
        <v>3149.94</v>
      </c>
      <c r="L31" s="375">
        <v>42276</v>
      </c>
      <c r="M31" s="377">
        <v>14.4</v>
      </c>
      <c r="W31" s="131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5">
        <f t="shared" si="1"/>
        <v>-9.2215893680498429E-3</v>
      </c>
    </row>
    <row r="32" spans="1:31" x14ac:dyDescent="0.25">
      <c r="A32" s="386" t="s">
        <v>71</v>
      </c>
      <c r="B32" s="723"/>
      <c r="C32" s="376">
        <v>60</v>
      </c>
      <c r="D32" s="377">
        <v>31.78</v>
      </c>
      <c r="E32" s="377"/>
      <c r="F32" s="377">
        <f>C32*D32</f>
        <v>1906.8000000000002</v>
      </c>
      <c r="G32" s="375">
        <v>42284</v>
      </c>
      <c r="H32" s="376">
        <v>40</v>
      </c>
      <c r="I32" s="376">
        <v>31.55</v>
      </c>
      <c r="J32" s="376">
        <v>0.02</v>
      </c>
      <c r="K32" s="376">
        <f>H32*I32-J32</f>
        <v>1261.98</v>
      </c>
      <c r="L32" s="376"/>
      <c r="M32" s="376"/>
      <c r="W32" s="131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5">
        <f t="shared" si="1"/>
        <v>-1.5750133475707528E-2</v>
      </c>
    </row>
    <row r="33" spans="1:31" x14ac:dyDescent="0.25">
      <c r="A33" s="376"/>
      <c r="B33" s="375">
        <v>42221</v>
      </c>
      <c r="C33" s="376">
        <v>10</v>
      </c>
      <c r="D33" s="377">
        <v>31.45</v>
      </c>
      <c r="E33" s="377"/>
      <c r="F33" s="377">
        <f>C33*D33</f>
        <v>314.5</v>
      </c>
      <c r="G33" s="376"/>
      <c r="H33" s="376"/>
      <c r="I33" s="376"/>
      <c r="J33" s="376"/>
      <c r="K33" s="376"/>
      <c r="L33" s="376"/>
      <c r="M33" s="376"/>
      <c r="W33" s="131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5">
        <f t="shared" si="1"/>
        <v>8.0149612610203036E-4</v>
      </c>
    </row>
    <row r="34" spans="1:31" x14ac:dyDescent="0.25">
      <c r="A34" s="376"/>
      <c r="B34" s="375">
        <v>42233</v>
      </c>
      <c r="C34" s="376">
        <v>30</v>
      </c>
      <c r="D34" s="377">
        <v>29.9</v>
      </c>
      <c r="E34" s="377"/>
      <c r="F34" s="377">
        <f>C34*D34</f>
        <v>897</v>
      </c>
      <c r="G34" s="376"/>
      <c r="H34" s="376"/>
      <c r="I34" s="376"/>
      <c r="J34" s="376"/>
      <c r="K34" s="376"/>
      <c r="L34" s="376"/>
      <c r="M34" s="376"/>
      <c r="W34" s="131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5">
        <f t="shared" si="1"/>
        <v>1.601520086862096E-2</v>
      </c>
    </row>
    <row r="35" spans="1:31" x14ac:dyDescent="0.25">
      <c r="A35" s="376"/>
      <c r="B35" s="376"/>
      <c r="C35" s="376"/>
      <c r="D35" s="377"/>
      <c r="E35" s="377"/>
      <c r="F35" s="377"/>
      <c r="G35" s="376"/>
      <c r="H35" s="376"/>
      <c r="I35" s="376"/>
      <c r="J35" s="376"/>
      <c r="K35" s="376"/>
      <c r="L35" s="376"/>
      <c r="M35" s="376"/>
      <c r="W35" s="131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5">
        <f t="shared" si="1"/>
        <v>5.1841746248295628E-3</v>
      </c>
    </row>
    <row r="36" spans="1:31" x14ac:dyDescent="0.25">
      <c r="A36" s="376"/>
      <c r="B36" s="376"/>
      <c r="C36" s="376"/>
      <c r="D36" s="377"/>
      <c r="E36" s="377"/>
      <c r="F36" s="377"/>
      <c r="G36" s="376"/>
      <c r="H36" s="376"/>
      <c r="I36" s="376"/>
      <c r="J36" s="376"/>
      <c r="K36" s="376"/>
      <c r="L36" s="376"/>
      <c r="M36" s="376"/>
      <c r="W36" s="131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5">
        <f t="shared" si="1"/>
        <v>-1.3623978201635634E-3</v>
      </c>
    </row>
    <row r="37" spans="1:31" x14ac:dyDescent="0.25">
      <c r="A37" s="376"/>
      <c r="B37" s="376"/>
      <c r="C37" s="376"/>
      <c r="D37" s="377"/>
      <c r="E37" s="377"/>
      <c r="F37" s="377"/>
      <c r="G37" s="376"/>
      <c r="H37" s="376"/>
      <c r="I37" s="376"/>
      <c r="J37" s="376"/>
      <c r="K37" s="376"/>
      <c r="L37" s="376"/>
      <c r="M37" s="376"/>
      <c r="W37" s="131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5">
        <f t="shared" si="1"/>
        <v>-4.3407487791643495E-3</v>
      </c>
    </row>
    <row r="38" spans="1:31" x14ac:dyDescent="0.25">
      <c r="A38" s="376"/>
      <c r="B38" s="376"/>
      <c r="C38" s="376"/>
      <c r="D38" s="377"/>
      <c r="E38" s="377"/>
      <c r="F38" s="377"/>
      <c r="G38" s="376"/>
      <c r="H38" s="376"/>
      <c r="I38" s="376"/>
      <c r="J38" s="376"/>
      <c r="K38" s="376"/>
      <c r="L38" s="376"/>
      <c r="M38" s="376"/>
      <c r="W38" s="131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5">
        <f t="shared" si="1"/>
        <v>4.8350398179749732E-2</v>
      </c>
    </row>
    <row r="39" spans="1:31" x14ac:dyDescent="0.25">
      <c r="A39" s="376"/>
      <c r="B39" s="376"/>
      <c r="C39" s="376"/>
      <c r="D39" s="377"/>
      <c r="E39" s="377"/>
      <c r="F39" s="377"/>
      <c r="G39" s="376"/>
      <c r="H39" s="376"/>
      <c r="I39" s="376"/>
      <c r="J39" s="376"/>
      <c r="K39" s="376"/>
      <c r="L39" s="376"/>
      <c r="M39" s="376"/>
      <c r="W39" s="131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5">
        <f t="shared" si="1"/>
        <v>1.0054582016661762E-2</v>
      </c>
    </row>
    <row r="40" spans="1:31" x14ac:dyDescent="0.25">
      <c r="A40" s="376"/>
      <c r="B40" s="376"/>
      <c r="C40" s="376"/>
      <c r="D40" s="377"/>
      <c r="E40" s="377"/>
      <c r="F40" s="377"/>
      <c r="G40" s="376"/>
      <c r="H40" s="376"/>
      <c r="I40" s="376"/>
      <c r="J40" s="376"/>
      <c r="K40" s="376"/>
      <c r="L40" s="376"/>
      <c r="M40" s="376"/>
      <c r="W40" s="131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5">
        <f t="shared" si="1"/>
        <v>2.5921658986176599E-3</v>
      </c>
    </row>
    <row r="41" spans="1:31" ht="20.25" thickBot="1" x14ac:dyDescent="0.35">
      <c r="A41" s="376"/>
      <c r="B41" s="376"/>
      <c r="C41" s="376"/>
      <c r="D41" s="377"/>
      <c r="E41" s="377"/>
      <c r="F41" s="377"/>
      <c r="G41" s="376"/>
      <c r="H41" s="376"/>
      <c r="I41" s="376"/>
      <c r="J41" s="376"/>
      <c r="K41" s="376"/>
      <c r="L41" s="376"/>
      <c r="M41" s="376"/>
      <c r="O41" s="716" t="s">
        <v>78</v>
      </c>
      <c r="P41" s="716"/>
      <c r="W41" s="131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5">
        <f t="shared" si="1"/>
        <v>-1.7251293847039273E-3</v>
      </c>
    </row>
    <row r="42" spans="1:31" ht="21" thickTop="1" thickBot="1" x14ac:dyDescent="0.35">
      <c r="A42" s="376"/>
      <c r="B42" s="376"/>
      <c r="C42" s="376"/>
      <c r="D42" s="377"/>
      <c r="E42" s="377"/>
      <c r="F42" s="377"/>
      <c r="G42" s="376"/>
      <c r="H42" s="376"/>
      <c r="I42" s="376"/>
      <c r="J42" s="376"/>
      <c r="K42" s="376"/>
      <c r="L42" s="376"/>
      <c r="M42" s="376"/>
      <c r="O42" s="82">
        <v>1.1000000000000001</v>
      </c>
      <c r="P42" s="82">
        <f>O42*$Q$4</f>
        <v>39.094000000000001</v>
      </c>
      <c r="Q42" s="2"/>
      <c r="T42" s="90" t="s">
        <v>112</v>
      </c>
      <c r="W42" s="131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5">
        <f t="shared" si="1"/>
        <v>1.1514104778354017E-3</v>
      </c>
    </row>
    <row r="43" spans="1:31" ht="15.75" thickTop="1" x14ac:dyDescent="0.25">
      <c r="A43" s="376"/>
      <c r="B43" s="376"/>
      <c r="C43" s="376"/>
      <c r="D43" s="377"/>
      <c r="E43" s="377"/>
      <c r="F43" s="377"/>
      <c r="G43" s="376"/>
      <c r="H43" s="376"/>
      <c r="I43" s="376"/>
      <c r="J43" s="376"/>
      <c r="K43" s="376"/>
      <c r="L43" s="376"/>
      <c r="M43" s="376"/>
      <c r="O43" s="82">
        <v>1.0900000000000001</v>
      </c>
      <c r="P43" s="82">
        <f t="shared" ref="P43:P62" si="2">O43*$Q$4</f>
        <v>38.738600000000005</v>
      </c>
      <c r="Q43" s="2"/>
      <c r="T43" s="158" t="s">
        <v>97</v>
      </c>
      <c r="U43" s="158">
        <v>34.270000000000003</v>
      </c>
      <c r="W43" s="131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5">
        <f t="shared" si="1"/>
        <v>-4.7174986286341203E-2</v>
      </c>
    </row>
    <row r="44" spans="1:31" x14ac:dyDescent="0.25">
      <c r="A44" s="376"/>
      <c r="B44" s="376"/>
      <c r="C44" s="376"/>
      <c r="D44" s="377"/>
      <c r="E44" s="377"/>
      <c r="F44" s="377"/>
      <c r="G44" s="376"/>
      <c r="H44" s="376"/>
      <c r="I44" s="376"/>
      <c r="J44" s="376"/>
      <c r="K44" s="376"/>
      <c r="L44" s="376"/>
      <c r="M44" s="376"/>
      <c r="O44" s="82">
        <v>1.08</v>
      </c>
      <c r="P44" s="82">
        <f t="shared" si="2"/>
        <v>38.383200000000002</v>
      </c>
      <c r="Q44" s="2"/>
      <c r="T44" s="10" t="s">
        <v>98</v>
      </c>
      <c r="U44" s="10">
        <v>34.619999999999997</v>
      </c>
      <c r="W44" s="131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5">
        <f t="shared" si="1"/>
        <v>1.3904338153504003E-2</v>
      </c>
    </row>
    <row r="45" spans="1:31" x14ac:dyDescent="0.25">
      <c r="A45" s="376"/>
      <c r="B45" s="376"/>
      <c r="C45" s="376"/>
      <c r="D45" s="377"/>
      <c r="E45" s="377"/>
      <c r="F45" s="377"/>
      <c r="G45" s="376"/>
      <c r="H45" s="376"/>
      <c r="I45" s="376"/>
      <c r="J45" s="376"/>
      <c r="K45" s="376"/>
      <c r="L45" s="376"/>
      <c r="M45" s="376"/>
      <c r="O45" s="82">
        <v>1.07</v>
      </c>
      <c r="P45" s="82">
        <f t="shared" si="2"/>
        <v>38.027799999999999</v>
      </c>
      <c r="Q45" s="2"/>
      <c r="T45" s="10" t="s">
        <v>99</v>
      </c>
      <c r="U45" s="10" t="s">
        <v>128</v>
      </c>
      <c r="W45" s="131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5">
        <f t="shared" si="1"/>
        <v>1.668080294034513E-2</v>
      </c>
    </row>
    <row r="46" spans="1:31" x14ac:dyDescent="0.25">
      <c r="A46" s="376"/>
      <c r="B46" s="376"/>
      <c r="C46" s="376"/>
      <c r="D46" s="377"/>
      <c r="E46" s="377"/>
      <c r="F46" s="377"/>
      <c r="G46" s="376"/>
      <c r="H46" s="376"/>
      <c r="I46" s="376"/>
      <c r="J46" s="376"/>
      <c r="K46" s="376"/>
      <c r="L46" s="376"/>
      <c r="M46" s="376"/>
      <c r="O46" s="82">
        <v>1.06</v>
      </c>
      <c r="P46" s="82">
        <f t="shared" si="2"/>
        <v>37.672400000000003</v>
      </c>
      <c r="Q46" s="2"/>
      <c r="T46" s="10" t="s">
        <v>100</v>
      </c>
      <c r="U46" s="10" t="s">
        <v>128</v>
      </c>
      <c r="W46" s="131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5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37.317</v>
      </c>
      <c r="Q47" s="2"/>
      <c r="T47" s="10" t="s">
        <v>101</v>
      </c>
      <c r="U47" s="10">
        <v>39.520000000000003</v>
      </c>
      <c r="W47" s="131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5">
        <f t="shared" si="1"/>
        <v>-1.2969094922737234E-2</v>
      </c>
    </row>
    <row r="48" spans="1:31" x14ac:dyDescent="0.25">
      <c r="O48" s="82">
        <v>1.04</v>
      </c>
      <c r="P48" s="82">
        <f t="shared" si="2"/>
        <v>36.961599999999997</v>
      </c>
      <c r="Q48" s="2"/>
      <c r="T48" s="10" t="s">
        <v>102</v>
      </c>
      <c r="U48" s="10">
        <v>1.6486700000000001</v>
      </c>
      <c r="W48" s="131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5">
        <f t="shared" si="1"/>
        <v>7.7864293659621886E-3</v>
      </c>
    </row>
    <row r="49" spans="15:31" x14ac:dyDescent="0.25">
      <c r="O49" s="82">
        <v>1.03</v>
      </c>
      <c r="P49" s="82">
        <f t="shared" si="2"/>
        <v>36.606200000000001</v>
      </c>
      <c r="Q49" s="2"/>
      <c r="T49" s="10" t="s">
        <v>103</v>
      </c>
      <c r="U49" s="10" t="s">
        <v>566</v>
      </c>
      <c r="W49" s="131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5">
        <f t="shared" si="1"/>
        <v>-1.8558951965065518E-2</v>
      </c>
    </row>
    <row r="50" spans="15:31" x14ac:dyDescent="0.25">
      <c r="O50" s="82">
        <v>1.02</v>
      </c>
      <c r="P50" s="82">
        <f t="shared" si="2"/>
        <v>36.250799999999998</v>
      </c>
      <c r="Q50" s="2"/>
      <c r="T50" s="10"/>
      <c r="U50" s="10"/>
      <c r="W50" s="131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5">
        <f t="shared" si="1"/>
        <v>-1.3462574044157294E-2</v>
      </c>
    </row>
    <row r="51" spans="15:31" x14ac:dyDescent="0.25">
      <c r="O51" s="82">
        <v>1.01</v>
      </c>
      <c r="P51" s="82">
        <f t="shared" si="2"/>
        <v>35.895400000000002</v>
      </c>
      <c r="Q51" s="2"/>
      <c r="T51" s="10" t="s">
        <v>104</v>
      </c>
      <c r="U51" s="10" t="s">
        <v>728</v>
      </c>
      <c r="W51" s="131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5">
        <f t="shared" si="1"/>
        <v>-1.9794140934283444E-2</v>
      </c>
    </row>
    <row r="52" spans="15:31" x14ac:dyDescent="0.25">
      <c r="O52" s="82">
        <v>1</v>
      </c>
      <c r="P52" s="82">
        <f t="shared" si="2"/>
        <v>35.54</v>
      </c>
      <c r="Q52" s="2"/>
      <c r="T52" s="10" t="s">
        <v>105</v>
      </c>
      <c r="U52" s="10" t="s">
        <v>513</v>
      </c>
      <c r="W52" s="131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5">
        <f t="shared" si="1"/>
        <v>3.4398034398034349E-2</v>
      </c>
    </row>
    <row r="53" spans="15:31" x14ac:dyDescent="0.25">
      <c r="O53" s="82">
        <v>0.99</v>
      </c>
      <c r="P53" s="82">
        <f t="shared" si="2"/>
        <v>35.184599999999996</v>
      </c>
      <c r="Q53" s="2"/>
      <c r="T53" s="10" t="s">
        <v>106</v>
      </c>
      <c r="U53" s="94">
        <v>10664248</v>
      </c>
      <c r="W53" s="131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5">
        <f t="shared" si="1"/>
        <v>9.6471885336273377E-3</v>
      </c>
    </row>
    <row r="54" spans="15:31" x14ac:dyDescent="0.25">
      <c r="O54" s="82">
        <v>0.98</v>
      </c>
      <c r="P54" s="82">
        <f t="shared" si="2"/>
        <v>34.8292</v>
      </c>
      <c r="Q54" s="2"/>
      <c r="T54" s="10" t="s">
        <v>109</v>
      </c>
      <c r="U54" s="94">
        <v>15730900</v>
      </c>
      <c r="W54" s="131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5">
        <f t="shared" si="1"/>
        <v>-9.8253275109170257E-3</v>
      </c>
    </row>
    <row r="55" spans="15:31" x14ac:dyDescent="0.25">
      <c r="O55" s="82">
        <v>0.97</v>
      </c>
      <c r="P55" s="82">
        <f t="shared" si="2"/>
        <v>34.473799999999997</v>
      </c>
      <c r="T55" s="10" t="s">
        <v>107</v>
      </c>
      <c r="U55" s="10" t="s">
        <v>729</v>
      </c>
      <c r="W55" s="131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5">
        <f t="shared" si="1"/>
        <v>-7.5839653304442534E-3</v>
      </c>
    </row>
    <row r="56" spans="15:31" x14ac:dyDescent="0.25">
      <c r="O56" s="82">
        <v>0.96</v>
      </c>
      <c r="P56" s="82">
        <f t="shared" si="2"/>
        <v>34.118400000000001</v>
      </c>
      <c r="T56" s="10" t="s">
        <v>110</v>
      </c>
      <c r="U56" s="10">
        <v>5.67</v>
      </c>
      <c r="W56" s="131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5">
        <f t="shared" si="1"/>
        <v>-4.5834456726880912E-3</v>
      </c>
    </row>
    <row r="57" spans="15:31" x14ac:dyDescent="0.25">
      <c r="O57" s="82">
        <v>0.95</v>
      </c>
      <c r="P57" s="82">
        <f t="shared" si="2"/>
        <v>33.762999999999998</v>
      </c>
      <c r="T57" s="10" t="s">
        <v>111</v>
      </c>
      <c r="U57" s="10">
        <v>6</v>
      </c>
      <c r="W57" s="131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5">
        <f t="shared" si="1"/>
        <v>4.3325209856486246E-3</v>
      </c>
    </row>
    <row r="58" spans="15:31" x14ac:dyDescent="0.25">
      <c r="O58" s="82">
        <v>0.94</v>
      </c>
      <c r="P58" s="82">
        <f t="shared" si="2"/>
        <v>33.407599999999995</v>
      </c>
      <c r="T58" s="10" t="s">
        <v>108</v>
      </c>
      <c r="U58" s="10" t="s">
        <v>602</v>
      </c>
      <c r="W58" s="131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5">
        <f t="shared" si="1"/>
        <v>-8.116883116883189E-4</v>
      </c>
    </row>
    <row r="59" spans="15:31" x14ac:dyDescent="0.25">
      <c r="O59" s="82">
        <v>0.93</v>
      </c>
      <c r="P59" s="82">
        <f t="shared" si="2"/>
        <v>33.052199999999999</v>
      </c>
      <c r="W59" s="131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5">
        <f t="shared" si="1"/>
        <v>-4.5785079450579858E-3</v>
      </c>
    </row>
    <row r="60" spans="15:31" x14ac:dyDescent="0.25">
      <c r="O60" s="82">
        <v>0.92</v>
      </c>
      <c r="P60" s="82">
        <f t="shared" si="2"/>
        <v>32.696800000000003</v>
      </c>
      <c r="W60" s="131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5">
        <f t="shared" si="1"/>
        <v>-1.1711471919084282E-2</v>
      </c>
    </row>
    <row r="61" spans="15:31" x14ac:dyDescent="0.25">
      <c r="O61" s="82">
        <v>0.91</v>
      </c>
      <c r="P61" s="82">
        <f t="shared" si="2"/>
        <v>32.3414</v>
      </c>
      <c r="W61" s="131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5">
        <f t="shared" si="1"/>
        <v>1.6229375169056093E-2</v>
      </c>
    </row>
    <row r="62" spans="15:31" x14ac:dyDescent="0.25">
      <c r="O62" s="82">
        <v>0.9</v>
      </c>
      <c r="P62" s="82">
        <f t="shared" si="2"/>
        <v>31.986000000000001</v>
      </c>
      <c r="W62" s="131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5">
        <f t="shared" si="1"/>
        <v>3.7026647966339477E-2</v>
      </c>
    </row>
    <row r="63" spans="15:31" x14ac:dyDescent="0.25">
      <c r="W63" s="131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5">
        <f t="shared" si="1"/>
        <v>5.6132472635406216E-4</v>
      </c>
    </row>
    <row r="64" spans="15:31" x14ac:dyDescent="0.25">
      <c r="W64" s="131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5">
        <f t="shared" si="1"/>
        <v>-1.0827318156579668E-2</v>
      </c>
    </row>
    <row r="65" spans="23:31" x14ac:dyDescent="0.25">
      <c r="W65" s="131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5">
        <f t="shared" si="1"/>
        <v>-1.8795968400980634E-2</v>
      </c>
    </row>
    <row r="66" spans="23:31" x14ac:dyDescent="0.25">
      <c r="W66" s="131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5">
        <f t="shared" si="1"/>
        <v>5.5188272492095569E-2</v>
      </c>
    </row>
    <row r="67" spans="23:31" x14ac:dyDescent="0.25">
      <c r="W67" s="131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5">
        <f>AC67/AC68-1</f>
        <v>8.6981733835893582E-3</v>
      </c>
    </row>
    <row r="68" spans="23:31" x14ac:dyDescent="0.25">
      <c r="W68" s="131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5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3"/>
      <c r="L3" s="73"/>
      <c r="M3" s="3"/>
      <c r="O3" s="11" t="s">
        <v>58</v>
      </c>
      <c r="Q3" s="227">
        <f>IF(Q2=0, Q4, (F18-K18-M18)/Q2)</f>
        <v>173.56</v>
      </c>
      <c r="W3" s="131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5"/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3"/>
      <c r="L4" s="4"/>
      <c r="M4" s="4"/>
      <c r="O4" s="11" t="s">
        <v>66</v>
      </c>
      <c r="Q4" s="55">
        <v>173.56</v>
      </c>
      <c r="R4" s="497">
        <v>-2.7000000000000001E-3</v>
      </c>
      <c r="W4" s="131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5"/>
    </row>
    <row r="5" spans="1:43" x14ac:dyDescent="0.25">
      <c r="B5" s="73"/>
      <c r="C5" s="4"/>
      <c r="D5" s="3"/>
      <c r="E5" s="3"/>
      <c r="F5" s="3"/>
      <c r="G5" s="4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5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5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1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5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4"/>
      <c r="Q8" s="2">
        <f>K18+M18-F18+Q2*Q4</f>
        <v>0</v>
      </c>
      <c r="W8" s="131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5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5">
        <f>IF(Q2=0, 0, Q8/Q6)</f>
        <v>0</v>
      </c>
      <c r="W9" s="131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5"/>
    </row>
    <row r="10" spans="1:43" x14ac:dyDescent="0.25">
      <c r="O10" s="11" t="s">
        <v>210</v>
      </c>
      <c r="P10" s="34"/>
      <c r="Q10" s="2">
        <f>M43</f>
        <v>465.57999999999993</v>
      </c>
      <c r="W10" s="131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5"/>
    </row>
    <row r="11" spans="1:43" x14ac:dyDescent="0.25">
      <c r="O11" s="11" t="s">
        <v>176</v>
      </c>
      <c r="P11" s="34"/>
      <c r="Q11" s="135">
        <f>IF(U58="N/A (N/A)", 0, VALUE(TRIM(CLEAN(MID(U58, FIND("(", U58)+1, 5)))))</f>
        <v>3.8999999999999998E-3</v>
      </c>
      <c r="W11" s="131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5"/>
    </row>
    <row r="12" spans="1:43" x14ac:dyDescent="0.25">
      <c r="W12" s="131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5"/>
    </row>
    <row r="13" spans="1:43" x14ac:dyDescent="0.25">
      <c r="W13" s="131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5"/>
    </row>
    <row r="14" spans="1:43" x14ac:dyDescent="0.25">
      <c r="W14" s="131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5"/>
    </row>
    <row r="15" spans="1:43" x14ac:dyDescent="0.25">
      <c r="W15" s="131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5"/>
    </row>
    <row r="16" spans="1:43" x14ac:dyDescent="0.25">
      <c r="W16" s="131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5"/>
    </row>
    <row r="17" spans="1:31" x14ac:dyDescent="0.25">
      <c r="W17" s="131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5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5"/>
    </row>
    <row r="19" spans="1:31" x14ac:dyDescent="0.25">
      <c r="W19" s="131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5"/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42807</v>
      </c>
      <c r="X20" s="10" t="s">
        <v>177</v>
      </c>
      <c r="Y20" s="10"/>
      <c r="Z20" s="10"/>
      <c r="AA20" s="10"/>
      <c r="AB20" s="94"/>
      <c r="AC20" s="10"/>
      <c r="AD20" s="2"/>
      <c r="AE20" s="135"/>
    </row>
    <row r="21" spans="1:31" x14ac:dyDescent="0.25">
      <c r="B21" s="190"/>
      <c r="C21" s="10"/>
      <c r="D21" s="40"/>
      <c r="E21" s="40"/>
      <c r="F21" s="40"/>
      <c r="G21" s="40"/>
      <c r="H21" s="228"/>
      <c r="I21" s="40"/>
      <c r="W21" s="131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5"/>
    </row>
    <row r="22" spans="1:31" x14ac:dyDescent="0.25">
      <c r="B22" s="190"/>
      <c r="C22" s="10"/>
      <c r="D22" s="40"/>
      <c r="E22" s="40"/>
      <c r="F22" s="40"/>
      <c r="G22" s="40"/>
      <c r="H22" s="228"/>
      <c r="I22" s="40"/>
      <c r="W22" s="131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5"/>
    </row>
    <row r="23" spans="1:31" x14ac:dyDescent="0.25">
      <c r="B23" s="190"/>
      <c r="C23" s="10"/>
      <c r="D23" s="40"/>
      <c r="E23" s="40"/>
      <c r="F23" s="40"/>
      <c r="G23" s="40"/>
      <c r="H23" s="228"/>
      <c r="I23" s="40"/>
      <c r="W23" s="131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5"/>
    </row>
    <row r="24" spans="1:31" x14ac:dyDescent="0.25">
      <c r="B24" s="190"/>
      <c r="C24" s="10"/>
      <c r="D24" s="40"/>
      <c r="E24" s="40"/>
      <c r="F24" s="40"/>
      <c r="G24" s="40"/>
      <c r="H24" s="228"/>
      <c r="I24" s="40"/>
      <c r="W24" s="131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5"/>
    </row>
    <row r="25" spans="1:31" x14ac:dyDescent="0.25">
      <c r="B25" s="597"/>
      <c r="C25" s="10"/>
      <c r="D25" s="40"/>
      <c r="E25" s="40"/>
      <c r="F25" s="40"/>
      <c r="G25" s="40"/>
      <c r="H25" s="229"/>
      <c r="I25" s="40"/>
      <c r="W25" s="131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5"/>
    </row>
    <row r="26" spans="1:31" x14ac:dyDescent="0.25">
      <c r="B26" s="190"/>
      <c r="C26" s="10"/>
      <c r="D26" s="40"/>
      <c r="E26" s="40"/>
      <c r="F26" s="40"/>
      <c r="G26" s="40"/>
      <c r="H26" s="229"/>
      <c r="I26" s="40"/>
      <c r="W26" s="131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5"/>
    </row>
    <row r="27" spans="1:31" x14ac:dyDescent="0.25">
      <c r="B27" s="190"/>
      <c r="C27" s="10"/>
      <c r="D27" s="40"/>
      <c r="E27" s="40"/>
      <c r="F27" s="40"/>
      <c r="G27" s="40"/>
      <c r="H27" s="228"/>
      <c r="I27" s="40"/>
      <c r="W27" s="131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5"/>
    </row>
    <row r="28" spans="1:31" x14ac:dyDescent="0.25">
      <c r="B28" s="190"/>
      <c r="C28" s="10"/>
      <c r="D28" s="40"/>
      <c r="E28" s="40"/>
      <c r="F28" s="40"/>
      <c r="G28" s="40"/>
      <c r="H28" s="228"/>
      <c r="I28" s="40"/>
      <c r="W28" s="131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5"/>
    </row>
    <row r="29" spans="1:31" x14ac:dyDescent="0.25">
      <c r="B29" s="190"/>
      <c r="C29" s="10"/>
      <c r="D29" s="40"/>
      <c r="E29" s="40"/>
      <c r="F29" s="40"/>
      <c r="G29" s="40"/>
      <c r="H29" s="228"/>
      <c r="I29" s="40"/>
      <c r="W29" s="131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5"/>
    </row>
    <row r="30" spans="1:31" x14ac:dyDescent="0.25">
      <c r="B30" s="190"/>
      <c r="C30" s="10"/>
      <c r="D30" s="40"/>
      <c r="E30" s="40"/>
      <c r="F30" s="40"/>
      <c r="G30" s="40"/>
      <c r="H30" s="228"/>
      <c r="I30" s="40"/>
      <c r="W30" s="131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5"/>
    </row>
    <row r="31" spans="1:31" x14ac:dyDescent="0.25">
      <c r="B31" s="597"/>
      <c r="C31" s="10"/>
      <c r="D31" s="40"/>
      <c r="E31" s="40"/>
      <c r="F31" s="40"/>
      <c r="G31" s="40"/>
      <c r="H31" s="229"/>
      <c r="I31" s="40"/>
      <c r="W31" s="131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5"/>
    </row>
    <row r="32" spans="1:31" x14ac:dyDescent="0.25">
      <c r="B32" s="190"/>
      <c r="C32" s="10"/>
      <c r="D32" s="40"/>
      <c r="E32" s="40"/>
      <c r="F32" s="40"/>
      <c r="G32" s="40"/>
      <c r="H32" s="229"/>
      <c r="I32" s="40"/>
      <c r="W32" s="131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5"/>
    </row>
    <row r="33" spans="1:31" x14ac:dyDescent="0.25">
      <c r="B33" s="190"/>
      <c r="C33" s="10"/>
      <c r="D33" s="40"/>
      <c r="E33" s="40"/>
      <c r="F33" s="40"/>
      <c r="G33" s="40"/>
      <c r="H33" s="229"/>
      <c r="I33" s="40"/>
      <c r="W33" s="131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5"/>
    </row>
    <row r="34" spans="1:31" x14ac:dyDescent="0.25">
      <c r="B34" s="10"/>
      <c r="C34" s="10"/>
      <c r="D34" s="40"/>
      <c r="E34" s="40"/>
      <c r="F34" s="40"/>
      <c r="G34" s="40"/>
      <c r="H34" s="229"/>
      <c r="I34" s="40"/>
      <c r="W34" s="131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5"/>
    </row>
    <row r="35" spans="1:31" x14ac:dyDescent="0.25">
      <c r="B35" s="10"/>
      <c r="C35" s="10"/>
      <c r="D35" s="40"/>
      <c r="E35" s="40"/>
      <c r="F35" s="40"/>
      <c r="G35" s="40"/>
      <c r="H35" s="229"/>
      <c r="I35" s="40"/>
      <c r="W35" s="131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5"/>
    </row>
    <row r="36" spans="1:31" x14ac:dyDescent="0.25">
      <c r="B36" s="10"/>
      <c r="C36" s="10"/>
      <c r="D36" s="40"/>
      <c r="E36" s="40"/>
      <c r="F36" s="40"/>
      <c r="G36" s="40"/>
      <c r="H36" s="229"/>
      <c r="I36" s="40"/>
      <c r="W36" s="131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5"/>
    </row>
    <row r="37" spans="1:31" x14ac:dyDescent="0.25">
      <c r="B37" s="10"/>
      <c r="C37" s="10"/>
      <c r="D37" s="40"/>
      <c r="E37" s="40"/>
      <c r="F37" s="40"/>
      <c r="G37" s="40"/>
      <c r="H37" s="229"/>
      <c r="I37" s="40"/>
      <c r="W37" s="131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5"/>
    </row>
    <row r="38" spans="1:31" x14ac:dyDescent="0.25">
      <c r="B38" s="10"/>
      <c r="C38" s="10"/>
      <c r="D38" s="40"/>
      <c r="E38" s="40"/>
      <c r="F38" s="40"/>
      <c r="G38" s="40"/>
      <c r="H38" s="229"/>
      <c r="I38" s="40"/>
      <c r="W38" s="131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5"/>
    </row>
    <row r="39" spans="1:31" x14ac:dyDescent="0.25">
      <c r="B39" s="10"/>
      <c r="C39" s="10"/>
      <c r="D39" s="40"/>
      <c r="E39" s="40"/>
      <c r="F39" s="40"/>
      <c r="G39" s="40"/>
      <c r="H39" s="229"/>
      <c r="I39" s="40"/>
      <c r="W39" s="131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5"/>
    </row>
    <row r="40" spans="1:31" x14ac:dyDescent="0.25">
      <c r="B40" s="10"/>
      <c r="C40" s="10"/>
      <c r="D40" s="40"/>
      <c r="E40" s="40"/>
      <c r="F40" s="40"/>
      <c r="G40" s="40"/>
      <c r="H40" s="229"/>
      <c r="I40" s="40"/>
      <c r="W40" s="131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5"/>
    </row>
    <row r="41" spans="1:31" x14ac:dyDescent="0.25">
      <c r="B41" s="10"/>
      <c r="C41" s="10"/>
      <c r="D41" s="40"/>
      <c r="E41" s="40"/>
      <c r="F41" s="40"/>
      <c r="G41" s="40"/>
      <c r="H41" s="229"/>
      <c r="I41" s="40"/>
      <c r="W41" s="131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5"/>
    </row>
    <row r="42" spans="1:31" ht="20.25" thickBot="1" x14ac:dyDescent="0.35">
      <c r="T42" s="90" t="s">
        <v>112</v>
      </c>
      <c r="W42" s="131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5"/>
    </row>
    <row r="43" spans="1:31" ht="15.75" thickTop="1" x14ac:dyDescent="0.25">
      <c r="L43" t="s">
        <v>210</v>
      </c>
      <c r="M43" s="2">
        <f>M54+K54-F54</f>
        <v>465.57999999999993</v>
      </c>
      <c r="T43" s="126" t="s">
        <v>97</v>
      </c>
      <c r="U43" s="569">
        <v>152.72</v>
      </c>
      <c r="W43" s="131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5"/>
    </row>
    <row r="44" spans="1:31" x14ac:dyDescent="0.25">
      <c r="A44" s="382" t="s">
        <v>1</v>
      </c>
      <c r="B44" s="382" t="s">
        <v>2</v>
      </c>
      <c r="C44" s="382" t="s">
        <v>4</v>
      </c>
      <c r="D44" s="382" t="s">
        <v>5</v>
      </c>
      <c r="E44" s="384" t="s">
        <v>94</v>
      </c>
      <c r="F44" s="382" t="s">
        <v>60</v>
      </c>
      <c r="G44" s="382" t="s">
        <v>3</v>
      </c>
      <c r="H44" s="382" t="s">
        <v>6</v>
      </c>
      <c r="I44" s="382" t="s">
        <v>7</v>
      </c>
      <c r="J44" s="382" t="s">
        <v>95</v>
      </c>
      <c r="K44" s="382" t="s">
        <v>61</v>
      </c>
      <c r="L44" s="382" t="s">
        <v>77</v>
      </c>
      <c r="M44" s="382" t="s">
        <v>38</v>
      </c>
      <c r="T44" s="92" t="s">
        <v>98</v>
      </c>
      <c r="U44" s="430">
        <v>153.27000000000001</v>
      </c>
      <c r="W44" s="131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5"/>
    </row>
    <row r="45" spans="1:31" ht="20.25" thickBot="1" x14ac:dyDescent="0.35">
      <c r="A45" s="385" t="s">
        <v>0</v>
      </c>
      <c r="B45" s="647">
        <v>42403</v>
      </c>
      <c r="C45" s="376">
        <v>10</v>
      </c>
      <c r="D45" s="377">
        <v>123.5</v>
      </c>
      <c r="E45" s="377">
        <v>0</v>
      </c>
      <c r="F45" s="377">
        <f>D45*C45+E45</f>
        <v>1235</v>
      </c>
      <c r="G45" s="647">
        <v>42436</v>
      </c>
      <c r="H45" s="380">
        <v>10</v>
      </c>
      <c r="I45" s="377">
        <v>140.65</v>
      </c>
      <c r="J45" s="377">
        <v>0.03</v>
      </c>
      <c r="K45" s="376">
        <f>I45*H45-J45</f>
        <v>1406.47</v>
      </c>
      <c r="L45" s="375"/>
      <c r="M45" s="377"/>
      <c r="O45" s="716" t="s">
        <v>78</v>
      </c>
      <c r="P45" s="716"/>
      <c r="T45" s="92" t="s">
        <v>99</v>
      </c>
      <c r="U45" s="430" t="s">
        <v>128</v>
      </c>
      <c r="W45" s="131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5"/>
    </row>
    <row r="46" spans="1:31" ht="15.75" thickTop="1" x14ac:dyDescent="0.25">
      <c r="A46" s="386" t="s">
        <v>71</v>
      </c>
      <c r="B46" s="572">
        <v>42702</v>
      </c>
      <c r="C46" s="521">
        <v>20</v>
      </c>
      <c r="D46" s="523">
        <v>139.88</v>
      </c>
      <c r="E46" s="523">
        <v>0</v>
      </c>
      <c r="F46" s="523">
        <f>C46*D46 + E46</f>
        <v>2797.6</v>
      </c>
      <c r="G46" s="572">
        <v>42766</v>
      </c>
      <c r="H46" s="521">
        <v>10</v>
      </c>
      <c r="I46" s="523">
        <v>149.08000000000001</v>
      </c>
      <c r="J46" s="523">
        <v>0.03</v>
      </c>
      <c r="K46" s="523">
        <f>H46*I46 - J46</f>
        <v>1490.7700000000002</v>
      </c>
      <c r="L46" s="520">
        <v>42753</v>
      </c>
      <c r="M46" s="523">
        <v>3</v>
      </c>
      <c r="O46" s="82">
        <v>1.1000000000000001</v>
      </c>
      <c r="P46" s="82">
        <f>O46*$Q$4</f>
        <v>190.91600000000003</v>
      </c>
      <c r="Q46" s="2"/>
      <c r="T46" s="92" t="s">
        <v>100</v>
      </c>
      <c r="U46" s="430" t="s">
        <v>128</v>
      </c>
      <c r="W46" s="131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5"/>
    </row>
    <row r="47" spans="1:31" x14ac:dyDescent="0.25">
      <c r="A47" s="376"/>
      <c r="B47" s="572">
        <v>42767</v>
      </c>
      <c r="C47" s="521">
        <v>10</v>
      </c>
      <c r="D47" s="523">
        <v>152.69999999999999</v>
      </c>
      <c r="E47" s="523">
        <v>0</v>
      </c>
      <c r="F47" s="523">
        <f>C47*D47 + E47</f>
        <v>1527</v>
      </c>
      <c r="G47" s="572">
        <v>42767</v>
      </c>
      <c r="H47" s="539">
        <v>10</v>
      </c>
      <c r="I47" s="523">
        <v>154.6</v>
      </c>
      <c r="J47" s="523">
        <v>0.03</v>
      </c>
      <c r="K47" s="523">
        <f>H47*I47 - J47</f>
        <v>1545.97</v>
      </c>
      <c r="L47" s="520"/>
      <c r="M47" s="523"/>
      <c r="O47" s="82">
        <v>1.0900000000000001</v>
      </c>
      <c r="P47" s="82">
        <f t="shared" ref="P47:P66" si="0">O47*$Q$4</f>
        <v>189.18040000000002</v>
      </c>
      <c r="Q47" s="2"/>
      <c r="T47" s="92" t="s">
        <v>101</v>
      </c>
      <c r="U47" s="430">
        <v>172.19</v>
      </c>
      <c r="W47" s="131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5"/>
    </row>
    <row r="48" spans="1:31" x14ac:dyDescent="0.25">
      <c r="A48" s="376"/>
      <c r="B48" s="572"/>
      <c r="C48" s="521"/>
      <c r="D48" s="523"/>
      <c r="E48" s="523"/>
      <c r="F48" s="523"/>
      <c r="G48" s="572">
        <v>42803</v>
      </c>
      <c r="H48" s="539">
        <v>10</v>
      </c>
      <c r="I48" s="521">
        <v>157.9</v>
      </c>
      <c r="J48" s="523">
        <v>0.03</v>
      </c>
      <c r="K48" s="523">
        <f>H48*I48 - J48</f>
        <v>1578.97</v>
      </c>
      <c r="L48" s="521"/>
      <c r="M48" s="521"/>
      <c r="O48" s="82">
        <v>1.08</v>
      </c>
      <c r="P48" s="82">
        <f t="shared" si="0"/>
        <v>187.44480000000001</v>
      </c>
      <c r="Q48" s="2"/>
      <c r="T48" s="92" t="s">
        <v>102</v>
      </c>
      <c r="U48" s="430">
        <v>0.96229299999999995</v>
      </c>
      <c r="W48" s="131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5"/>
    </row>
    <row r="49" spans="1:31" x14ac:dyDescent="0.25">
      <c r="A49" s="376"/>
      <c r="B49" s="572"/>
      <c r="C49" s="521"/>
      <c r="D49" s="523"/>
      <c r="E49" s="523"/>
      <c r="F49" s="523"/>
      <c r="G49" s="572"/>
      <c r="H49" s="539"/>
      <c r="I49" s="523"/>
      <c r="J49" s="523"/>
      <c r="K49" s="521"/>
      <c r="L49" s="521"/>
      <c r="M49" s="521"/>
      <c r="O49" s="82">
        <v>1.07</v>
      </c>
      <c r="P49" s="82">
        <f t="shared" si="0"/>
        <v>185.70920000000001</v>
      </c>
      <c r="Q49" s="2"/>
      <c r="T49" s="92" t="s">
        <v>103</v>
      </c>
      <c r="U49" s="430" t="s">
        <v>603</v>
      </c>
      <c r="W49" s="131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5"/>
    </row>
    <row r="50" spans="1:31" x14ac:dyDescent="0.25">
      <c r="A50" s="376"/>
      <c r="B50" s="647"/>
      <c r="C50" s="376"/>
      <c r="D50" s="377"/>
      <c r="E50" s="377"/>
      <c r="F50" s="377"/>
      <c r="G50" s="647"/>
      <c r="H50" s="376"/>
      <c r="I50" s="376"/>
      <c r="J50" s="376"/>
      <c r="K50" s="376"/>
      <c r="L50" s="376"/>
      <c r="M50" s="376"/>
      <c r="O50" s="82">
        <v>1.06</v>
      </c>
      <c r="P50" s="82">
        <f t="shared" si="0"/>
        <v>183.9736</v>
      </c>
      <c r="Q50" s="2"/>
      <c r="T50" s="92"/>
      <c r="U50" s="430"/>
      <c r="W50" s="131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5"/>
    </row>
    <row r="51" spans="1:31" x14ac:dyDescent="0.25">
      <c r="A51" s="376"/>
      <c r="B51" s="647"/>
      <c r="C51" s="376"/>
      <c r="D51" s="377"/>
      <c r="E51" s="377"/>
      <c r="F51" s="377"/>
      <c r="G51" s="647"/>
      <c r="H51" s="376"/>
      <c r="I51" s="376"/>
      <c r="J51" s="376"/>
      <c r="K51" s="376"/>
      <c r="L51" s="376"/>
      <c r="M51" s="376"/>
      <c r="O51" s="82">
        <v>1.05</v>
      </c>
      <c r="P51" s="82">
        <f t="shared" si="0"/>
        <v>182.238</v>
      </c>
      <c r="Q51" s="2"/>
      <c r="T51" s="92" t="s">
        <v>104</v>
      </c>
      <c r="U51" s="430" t="s">
        <v>730</v>
      </c>
      <c r="W51" s="131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5"/>
    </row>
    <row r="52" spans="1:31" x14ac:dyDescent="0.25">
      <c r="A52" s="376"/>
      <c r="B52" s="647"/>
      <c r="C52" s="376"/>
      <c r="D52" s="377"/>
      <c r="E52" s="377"/>
      <c r="F52" s="377"/>
      <c r="G52" s="647"/>
      <c r="H52" s="376"/>
      <c r="I52" s="376"/>
      <c r="J52" s="376"/>
      <c r="K52" s="376"/>
      <c r="L52" s="376"/>
      <c r="M52" s="376"/>
      <c r="O52" s="82">
        <v>1.04</v>
      </c>
      <c r="P52" s="82">
        <f t="shared" si="0"/>
        <v>180.50239999999999</v>
      </c>
      <c r="Q52" s="2"/>
      <c r="T52" s="92" t="s">
        <v>105</v>
      </c>
      <c r="U52" s="430" t="s">
        <v>567</v>
      </c>
      <c r="W52" s="131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5"/>
    </row>
    <row r="53" spans="1:31" x14ac:dyDescent="0.25">
      <c r="A53" s="376"/>
      <c r="B53" s="647"/>
      <c r="C53" s="376"/>
      <c r="D53" s="376"/>
      <c r="E53" s="377"/>
      <c r="F53" s="376"/>
      <c r="G53" s="647"/>
      <c r="H53" s="376"/>
      <c r="I53" s="376"/>
      <c r="J53" s="376"/>
      <c r="K53" s="376"/>
      <c r="L53" s="376"/>
      <c r="M53" s="376"/>
      <c r="O53" s="82">
        <v>1.03</v>
      </c>
      <c r="P53" s="82">
        <f t="shared" si="0"/>
        <v>178.76680000000002</v>
      </c>
      <c r="Q53" s="2"/>
      <c r="T53" s="92" t="s">
        <v>106</v>
      </c>
      <c r="U53" s="431">
        <v>2012985</v>
      </c>
      <c r="W53" s="131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5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177.03120000000001</v>
      </c>
      <c r="Q54" s="2"/>
      <c r="T54" s="92" t="s">
        <v>109</v>
      </c>
      <c r="U54" s="431">
        <v>1769420</v>
      </c>
      <c r="W54" s="131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5"/>
    </row>
    <row r="55" spans="1:31" x14ac:dyDescent="0.25">
      <c r="A55" s="376"/>
      <c r="B55" s="376"/>
      <c r="C55" s="376"/>
      <c r="D55" s="376"/>
      <c r="E55" s="377"/>
      <c r="F55" s="376"/>
      <c r="G55" s="376"/>
      <c r="H55" s="376"/>
      <c r="I55" s="376"/>
      <c r="J55" s="376"/>
      <c r="K55" s="376"/>
      <c r="L55" s="376"/>
      <c r="M55" s="376"/>
      <c r="O55" s="82">
        <v>1.01</v>
      </c>
      <c r="P55" s="82">
        <f t="shared" si="0"/>
        <v>175.29560000000001</v>
      </c>
      <c r="Q55" s="2"/>
      <c r="T55" s="92" t="s">
        <v>107</v>
      </c>
      <c r="U55" s="430" t="s">
        <v>731</v>
      </c>
      <c r="W55" s="131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5"/>
    </row>
    <row r="56" spans="1:31" x14ac:dyDescent="0.25">
      <c r="O56" s="82">
        <v>1</v>
      </c>
      <c r="P56" s="82">
        <f t="shared" si="0"/>
        <v>173.56</v>
      </c>
      <c r="Q56" s="2"/>
      <c r="T56" s="92" t="s">
        <v>110</v>
      </c>
      <c r="U56" s="430">
        <v>30.01</v>
      </c>
      <c r="W56" s="131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5"/>
    </row>
    <row r="57" spans="1:31" x14ac:dyDescent="0.25">
      <c r="O57" s="82">
        <v>0.99</v>
      </c>
      <c r="P57" s="82">
        <f t="shared" si="0"/>
        <v>171.8244</v>
      </c>
      <c r="Q57" s="2"/>
      <c r="T57" s="92" t="s">
        <v>111</v>
      </c>
      <c r="U57" s="430">
        <v>5.09</v>
      </c>
      <c r="W57" s="131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5"/>
    </row>
    <row r="58" spans="1:31" x14ac:dyDescent="0.25">
      <c r="O58" s="82">
        <v>0.98</v>
      </c>
      <c r="P58" s="82">
        <f t="shared" si="0"/>
        <v>170.08879999999999</v>
      </c>
      <c r="Q58" s="2"/>
      <c r="T58" s="92" t="s">
        <v>108</v>
      </c>
      <c r="U58" s="430" t="s">
        <v>557</v>
      </c>
      <c r="W58" s="131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5"/>
    </row>
    <row r="59" spans="1:31" x14ac:dyDescent="0.25">
      <c r="O59" s="82">
        <v>0.97</v>
      </c>
      <c r="P59" s="82">
        <f t="shared" si="0"/>
        <v>168.35319999999999</v>
      </c>
      <c r="W59" s="131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5"/>
    </row>
    <row r="60" spans="1:31" x14ac:dyDescent="0.25">
      <c r="O60" s="82">
        <v>0.96</v>
      </c>
      <c r="P60" s="82">
        <f t="shared" si="0"/>
        <v>166.61760000000001</v>
      </c>
      <c r="W60" s="131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5"/>
    </row>
    <row r="61" spans="1:31" x14ac:dyDescent="0.25">
      <c r="O61" s="82">
        <v>0.95</v>
      </c>
      <c r="P61" s="82">
        <f t="shared" si="0"/>
        <v>164.88200000000001</v>
      </c>
      <c r="W61" s="131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5"/>
    </row>
    <row r="62" spans="1:31" x14ac:dyDescent="0.25">
      <c r="O62" s="82">
        <v>0.94</v>
      </c>
      <c r="P62" s="82">
        <f t="shared" si="0"/>
        <v>163.1464</v>
      </c>
      <c r="W62" s="131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5"/>
    </row>
    <row r="63" spans="1:31" x14ac:dyDescent="0.25">
      <c r="O63" s="82">
        <v>0.93</v>
      </c>
      <c r="P63" s="82">
        <f t="shared" si="0"/>
        <v>161.41080000000002</v>
      </c>
      <c r="W63" s="131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5"/>
    </row>
    <row r="64" spans="1:31" x14ac:dyDescent="0.25">
      <c r="O64" s="82">
        <v>0.92</v>
      </c>
      <c r="P64" s="82">
        <f t="shared" si="0"/>
        <v>159.67520000000002</v>
      </c>
      <c r="W64" s="131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5"/>
    </row>
    <row r="65" spans="15:31" x14ac:dyDescent="0.25">
      <c r="O65" s="82">
        <v>0.91</v>
      </c>
      <c r="P65" s="82">
        <f t="shared" si="0"/>
        <v>157.93960000000001</v>
      </c>
      <c r="W65" s="131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5"/>
    </row>
    <row r="66" spans="15:31" x14ac:dyDescent="0.25">
      <c r="O66" s="82">
        <v>0.9</v>
      </c>
      <c r="P66" s="82">
        <f t="shared" si="0"/>
        <v>156.20400000000001</v>
      </c>
      <c r="W66" s="131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5"/>
    </row>
    <row r="67" spans="15:31" x14ac:dyDescent="0.25">
      <c r="W67" s="131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5"/>
    </row>
    <row r="68" spans="15:31" x14ac:dyDescent="0.25">
      <c r="W68" s="131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5"/>
    </row>
    <row r="69" spans="15:31" x14ac:dyDescent="0.25">
      <c r="W69" s="131" t="s">
        <v>120</v>
      </c>
      <c r="X69" s="10"/>
      <c r="Y69" s="10"/>
      <c r="Z69" s="10"/>
      <c r="AA69" s="10"/>
      <c r="AB69" s="94"/>
      <c r="AC69" s="10"/>
      <c r="AD69" s="2"/>
      <c r="AE69" s="135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1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5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43.5</v>
      </c>
      <c r="W3" s="131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5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1">
        <v>2556</v>
      </c>
      <c r="AO3" s="231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2"/>
      <c r="I4" s="4"/>
      <c r="J4" s="3"/>
      <c r="K4" s="4"/>
      <c r="L4" s="4"/>
      <c r="M4" s="4"/>
      <c r="O4" s="11" t="s">
        <v>66</v>
      </c>
      <c r="Q4" s="55">
        <v>43.5</v>
      </c>
      <c r="R4" s="497">
        <v>-2.0299999999999999E-2</v>
      </c>
      <c r="W4" s="131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5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5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5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1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5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5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5">
        <f>IF(Q2=0, 0, Q8/Q6)</f>
        <v>0</v>
      </c>
      <c r="W9" s="131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5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4"/>
      <c r="Q10" s="2">
        <f>M36</f>
        <v>529.88000000000284</v>
      </c>
      <c r="W10" s="131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5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4"/>
      <c r="Q11" s="135">
        <f>IF(U58="N/A (N/A)", 0, VALUE(TRIM(CLEAN(MID(U58, FIND("(", U58)+1, 5)))))</f>
        <v>2.3E-2</v>
      </c>
      <c r="W11" s="131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5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1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5">
        <f t="shared" si="1"/>
        <v>1.9698725376593229E-2</v>
      </c>
    </row>
    <row r="13" spans="1:43" x14ac:dyDescent="0.25">
      <c r="W13" s="131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5">
        <f t="shared" si="1"/>
        <v>-4.2175360710321796E-2</v>
      </c>
    </row>
    <row r="14" spans="1:43" x14ac:dyDescent="0.25">
      <c r="W14" s="131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5">
        <f t="shared" si="1"/>
        <v>2.2246941045604984E-3</v>
      </c>
    </row>
    <row r="15" spans="1:43" x14ac:dyDescent="0.25">
      <c r="W15" s="131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5">
        <f t="shared" si="1"/>
        <v>-1.3172338090010838E-2</v>
      </c>
    </row>
    <row r="16" spans="1:43" x14ac:dyDescent="0.25">
      <c r="W16" s="131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5">
        <f t="shared" si="1"/>
        <v>-2.1905805038335835E-3</v>
      </c>
    </row>
    <row r="17" spans="1:31" x14ac:dyDescent="0.25">
      <c r="W17" s="131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5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1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5">
        <f t="shared" si="1"/>
        <v>-1.4492753623188359E-2</v>
      </c>
    </row>
    <row r="19" spans="1:31" x14ac:dyDescent="0.25">
      <c r="W19" s="131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5">
        <f t="shared" si="1"/>
        <v>6.7340067340069254E-3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I20" s="191" t="s">
        <v>154</v>
      </c>
      <c r="W20" s="131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5">
        <f t="shared" si="1"/>
        <v>2.7681660899653959E-2</v>
      </c>
    </row>
    <row r="21" spans="1:31" x14ac:dyDescent="0.25">
      <c r="B21" s="19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29">
        <f t="shared" ref="H21:H31" si="3">IF(C21=0, D21, (E21-D21)/D21)</f>
        <v>-3.3254954652334516E-2</v>
      </c>
      <c r="I21" s="40"/>
      <c r="W21" s="131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5">
        <f t="shared" si="1"/>
        <v>-2.3648648648648574E-2</v>
      </c>
    </row>
    <row r="22" spans="1:31" x14ac:dyDescent="0.25">
      <c r="B22" s="19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29">
        <f t="shared" si="3"/>
        <v>4.4368600682593878E-2</v>
      </c>
      <c r="I22" s="40"/>
      <c r="W22" s="131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5">
        <f t="shared" si="1"/>
        <v>-7.8212290502793769E-3</v>
      </c>
    </row>
    <row r="23" spans="1:31" x14ac:dyDescent="0.25">
      <c r="B23" s="19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29">
        <f t="shared" si="3"/>
        <v>0.22486772486772469</v>
      </c>
      <c r="I23" s="40"/>
      <c r="W23" s="131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5">
        <f t="shared" si="1"/>
        <v>-1.7563117453347932E-2</v>
      </c>
    </row>
    <row r="24" spans="1:31" x14ac:dyDescent="0.25">
      <c r="B24" s="19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29">
        <f t="shared" si="3"/>
        <v>0.17862595419847327</v>
      </c>
      <c r="I24" s="40"/>
      <c r="W24" s="131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5">
        <f t="shared" si="1"/>
        <v>1.2222222222222134E-2</v>
      </c>
    </row>
    <row r="25" spans="1:31" x14ac:dyDescent="0.25">
      <c r="B25" s="19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29">
        <f t="shared" si="3"/>
        <v>9.8854961832061064E-2</v>
      </c>
      <c r="I25" s="40"/>
      <c r="W25" s="131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5">
        <f t="shared" si="1"/>
        <v>1.2373453318335059E-2</v>
      </c>
    </row>
    <row r="26" spans="1:31" x14ac:dyDescent="0.25">
      <c r="B26" s="19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29">
        <f t="shared" si="3"/>
        <v>2.7516019600452333E-2</v>
      </c>
      <c r="I26" s="40"/>
      <c r="W26" s="131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5">
        <f t="shared" si="1"/>
        <v>-2.3076923076922995E-2</v>
      </c>
    </row>
    <row r="27" spans="1:31" x14ac:dyDescent="0.25">
      <c r="B27" s="19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29">
        <f t="shared" si="3"/>
        <v>0.12293794186959933</v>
      </c>
      <c r="I27" s="40"/>
      <c r="W27" s="131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5">
        <f t="shared" si="1"/>
        <v>2.9411764705882248E-2</v>
      </c>
    </row>
    <row r="28" spans="1:31" x14ac:dyDescent="0.25">
      <c r="B28" s="19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29">
        <f t="shared" si="3"/>
        <v>2.2596706242818839E-2</v>
      </c>
      <c r="I28" s="40"/>
      <c r="W28" s="131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5">
        <f t="shared" si="1"/>
        <v>-8.9686098654707669E-3</v>
      </c>
    </row>
    <row r="29" spans="1:31" x14ac:dyDescent="0.25">
      <c r="B29" s="19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29">
        <f t="shared" si="3"/>
        <v>7.3152049023362697E-2</v>
      </c>
      <c r="I29" s="40"/>
      <c r="W29" s="131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5">
        <f t="shared" si="1"/>
        <v>3.600464576074347E-2</v>
      </c>
    </row>
    <row r="30" spans="1:31" x14ac:dyDescent="0.25">
      <c r="B30" s="19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29">
        <f t="shared" si="3"/>
        <v>0.23922231614539308</v>
      </c>
      <c r="I30" s="40"/>
      <c r="W30" s="131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5">
        <f t="shared" si="1"/>
        <v>0</v>
      </c>
    </row>
    <row r="31" spans="1:31" x14ac:dyDescent="0.25">
      <c r="B31" s="19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29">
        <f t="shared" si="3"/>
        <v>0</v>
      </c>
      <c r="I31" s="40"/>
      <c r="W31" s="131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5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29"/>
      <c r="I32" s="40"/>
      <c r="W32" s="131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5">
        <f t="shared" si="1"/>
        <v>-1.3407821229050265E-2</v>
      </c>
    </row>
    <row r="33" spans="1:31" x14ac:dyDescent="0.25">
      <c r="W33" s="131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5">
        <f t="shared" si="1"/>
        <v>5.6179775280897903E-3</v>
      </c>
    </row>
    <row r="34" spans="1:31" x14ac:dyDescent="0.25">
      <c r="W34" s="131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5" t="e">
        <f t="shared" si="1"/>
        <v>#DIV/0!</v>
      </c>
    </row>
    <row r="35" spans="1:31" x14ac:dyDescent="0.25">
      <c r="W35" s="131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5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1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5">
        <f t="shared" si="1"/>
        <v>-8.950548221078547E-3</v>
      </c>
    </row>
    <row r="37" spans="1:31" x14ac:dyDescent="0.25">
      <c r="A37" s="382" t="s">
        <v>1</v>
      </c>
      <c r="B37" s="382" t="s">
        <v>2</v>
      </c>
      <c r="C37" s="382" t="s">
        <v>4</v>
      </c>
      <c r="D37" s="382" t="s">
        <v>5</v>
      </c>
      <c r="E37" s="384" t="s">
        <v>94</v>
      </c>
      <c r="F37" s="382" t="s">
        <v>60</v>
      </c>
      <c r="G37" s="382" t="s">
        <v>3</v>
      </c>
      <c r="H37" s="382" t="s">
        <v>6</v>
      </c>
      <c r="I37" s="382" t="s">
        <v>7</v>
      </c>
      <c r="J37" s="382" t="s">
        <v>95</v>
      </c>
      <c r="K37" s="382" t="s">
        <v>61</v>
      </c>
      <c r="L37" s="382" t="s">
        <v>77</v>
      </c>
      <c r="M37" s="382" t="s">
        <v>38</v>
      </c>
      <c r="W37" s="131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5">
        <f t="shared" si="1"/>
        <v>-8.8711465956976543E-3</v>
      </c>
    </row>
    <row r="38" spans="1:31" x14ac:dyDescent="0.25">
      <c r="A38" s="385" t="s">
        <v>39</v>
      </c>
      <c r="B38" s="375">
        <v>42179</v>
      </c>
      <c r="C38" s="376">
        <v>10</v>
      </c>
      <c r="D38" s="377">
        <v>37.799999999999997</v>
      </c>
      <c r="E38" s="377">
        <v>0</v>
      </c>
      <c r="F38" s="377">
        <f t="shared" ref="F38:F45" si="4">C38*D38</f>
        <v>378</v>
      </c>
      <c r="G38" s="375">
        <v>42310</v>
      </c>
      <c r="H38" s="380">
        <v>170</v>
      </c>
      <c r="I38" s="377">
        <v>30.28</v>
      </c>
      <c r="J38" s="377">
        <v>7.04</v>
      </c>
      <c r="K38" s="376">
        <f>H38*I38-J38</f>
        <v>5140.5600000000004</v>
      </c>
      <c r="L38" s="375">
        <v>42250</v>
      </c>
      <c r="M38" s="377">
        <v>20.8</v>
      </c>
      <c r="W38" s="131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5">
        <f t="shared" si="1"/>
        <v>-4.1961130742048658E-3</v>
      </c>
    </row>
    <row r="39" spans="1:31" x14ac:dyDescent="0.25">
      <c r="A39" s="386" t="s">
        <v>71</v>
      </c>
      <c r="B39" s="375">
        <v>42194</v>
      </c>
      <c r="C39" s="376">
        <v>10</v>
      </c>
      <c r="D39" s="377">
        <v>35.5</v>
      </c>
      <c r="E39" s="377">
        <v>0</v>
      </c>
      <c r="F39" s="377">
        <f t="shared" si="4"/>
        <v>355</v>
      </c>
      <c r="G39" s="375">
        <v>42314</v>
      </c>
      <c r="H39" s="380">
        <v>80</v>
      </c>
      <c r="I39" s="377">
        <v>32.5</v>
      </c>
      <c r="J39" s="377">
        <v>0.05</v>
      </c>
      <c r="K39" s="376">
        <f>H39*I39-J39</f>
        <v>2599.9499999999998</v>
      </c>
      <c r="L39" s="375">
        <v>42345</v>
      </c>
      <c r="M39" s="377">
        <v>23.4</v>
      </c>
      <c r="W39" s="131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5">
        <f t="shared" si="1"/>
        <v>8.6879037647582535E-3</v>
      </c>
    </row>
    <row r="40" spans="1:31" x14ac:dyDescent="0.25">
      <c r="A40" s="376"/>
      <c r="B40" s="375">
        <v>42230</v>
      </c>
      <c r="C40" s="376">
        <v>20</v>
      </c>
      <c r="D40" s="377">
        <v>32.9</v>
      </c>
      <c r="E40" s="377">
        <v>0</v>
      </c>
      <c r="F40" s="377">
        <f t="shared" si="4"/>
        <v>658</v>
      </c>
      <c r="G40" s="375">
        <v>42010</v>
      </c>
      <c r="H40" s="380">
        <v>40</v>
      </c>
      <c r="I40" s="376">
        <v>28.92</v>
      </c>
      <c r="J40" s="377">
        <v>0.02</v>
      </c>
      <c r="K40" s="376">
        <f>H40*I40-J40</f>
        <v>1156.7800000000002</v>
      </c>
      <c r="L40" s="376"/>
      <c r="M40" s="376"/>
      <c r="W40" s="131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5">
        <f t="shared" si="1"/>
        <v>1.9300635785649334E-2</v>
      </c>
    </row>
    <row r="41" spans="1:31" x14ac:dyDescent="0.25">
      <c r="A41" s="376"/>
      <c r="B41" s="375">
        <v>42240</v>
      </c>
      <c r="C41" s="376">
        <v>40</v>
      </c>
      <c r="D41" s="377">
        <v>32.4</v>
      </c>
      <c r="E41" s="377">
        <v>0</v>
      </c>
      <c r="F41" s="377">
        <f t="shared" si="4"/>
        <v>1296</v>
      </c>
      <c r="G41" s="375">
        <v>42404</v>
      </c>
      <c r="H41" s="380">
        <v>90</v>
      </c>
      <c r="I41" s="377">
        <v>28.55</v>
      </c>
      <c r="J41" s="377">
        <v>0.05</v>
      </c>
      <c r="K41" s="376">
        <f>H41*I41-J41</f>
        <v>2569.4499999999998</v>
      </c>
      <c r="L41" s="376"/>
      <c r="M41" s="376"/>
      <c r="W41" s="131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5">
        <f t="shared" si="1"/>
        <v>6.8587105624142719E-3</v>
      </c>
    </row>
    <row r="42" spans="1:31" ht="20.25" thickBot="1" x14ac:dyDescent="0.35">
      <c r="A42" s="376"/>
      <c r="B42" s="375">
        <v>42275</v>
      </c>
      <c r="C42" s="376">
        <v>90</v>
      </c>
      <c r="D42" s="377">
        <v>29.2</v>
      </c>
      <c r="E42" s="377">
        <v>0</v>
      </c>
      <c r="F42" s="377">
        <f t="shared" si="4"/>
        <v>2628</v>
      </c>
      <c r="G42" s="375">
        <v>42412</v>
      </c>
      <c r="H42" s="380">
        <v>90</v>
      </c>
      <c r="I42" s="377">
        <v>29.55</v>
      </c>
      <c r="J42" s="377">
        <v>0.06</v>
      </c>
      <c r="K42" s="376">
        <f>H42*I42-J42</f>
        <v>2659.44</v>
      </c>
      <c r="L42" s="376"/>
      <c r="M42" s="376"/>
      <c r="O42" s="413" t="s">
        <v>78</v>
      </c>
      <c r="P42" s="413"/>
      <c r="T42" s="90" t="s">
        <v>112</v>
      </c>
      <c r="W42" s="131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5">
        <f t="shared" si="1"/>
        <v>-1.1301989150090397E-2</v>
      </c>
    </row>
    <row r="43" spans="1:31" ht="15.75" thickTop="1" x14ac:dyDescent="0.25">
      <c r="A43" s="376"/>
      <c r="B43" s="375">
        <v>42298</v>
      </c>
      <c r="C43" s="376">
        <v>170</v>
      </c>
      <c r="D43" s="377">
        <v>28.4</v>
      </c>
      <c r="E43" s="377">
        <v>0</v>
      </c>
      <c r="F43" s="377">
        <f t="shared" si="4"/>
        <v>4828</v>
      </c>
      <c r="G43" s="376"/>
      <c r="H43" s="376"/>
      <c r="I43" s="376"/>
      <c r="J43" s="376"/>
      <c r="K43" s="376"/>
      <c r="L43" s="376"/>
      <c r="M43" s="376"/>
      <c r="O43" s="82">
        <v>1.1000000000000001</v>
      </c>
      <c r="P43" s="82">
        <f>O43*$Q$4</f>
        <v>47.85</v>
      </c>
      <c r="T43" s="92" t="s">
        <v>97</v>
      </c>
      <c r="U43" s="430">
        <v>44.15</v>
      </c>
      <c r="W43" s="131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5">
        <f t="shared" si="1"/>
        <v>-5.6192402787142992E-3</v>
      </c>
    </row>
    <row r="44" spans="1:31" x14ac:dyDescent="0.25">
      <c r="A44" s="376"/>
      <c r="B44" s="375">
        <v>42360</v>
      </c>
      <c r="C44" s="376">
        <v>40</v>
      </c>
      <c r="D44" s="377">
        <v>27.25</v>
      </c>
      <c r="E44" s="377">
        <v>0</v>
      </c>
      <c r="F44" s="377">
        <f t="shared" si="4"/>
        <v>1090</v>
      </c>
      <c r="G44" s="376"/>
      <c r="H44" s="376"/>
      <c r="I44" s="376"/>
      <c r="J44" s="376"/>
      <c r="K44" s="376"/>
      <c r="L44" s="376"/>
      <c r="M44" s="376"/>
      <c r="O44" s="82">
        <v>1.0900000000000001</v>
      </c>
      <c r="P44" s="82">
        <f t="shared" ref="P44:P63" si="5">O44*$Q$4</f>
        <v>47.415000000000006</v>
      </c>
      <c r="T44" s="92" t="s">
        <v>98</v>
      </c>
      <c r="U44" s="430">
        <v>44.5</v>
      </c>
      <c r="W44" s="131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5">
        <f t="shared" si="1"/>
        <v>3.3829499323410062E-3</v>
      </c>
    </row>
    <row r="45" spans="1:31" x14ac:dyDescent="0.25">
      <c r="A45" s="376"/>
      <c r="B45" s="375">
        <v>42376</v>
      </c>
      <c r="C45" s="376">
        <v>90</v>
      </c>
      <c r="D45" s="377">
        <v>26.75</v>
      </c>
      <c r="E45" s="377">
        <v>0</v>
      </c>
      <c r="F45" s="377">
        <f t="shared" si="4"/>
        <v>2407.5</v>
      </c>
      <c r="G45" s="376"/>
      <c r="H45" s="376"/>
      <c r="I45" s="376"/>
      <c r="J45" s="376"/>
      <c r="K45" s="376"/>
      <c r="L45" s="376"/>
      <c r="M45" s="376"/>
      <c r="O45" s="82">
        <v>1.08</v>
      </c>
      <c r="P45" s="82">
        <f t="shared" si="5"/>
        <v>46.980000000000004</v>
      </c>
      <c r="T45" s="92" t="s">
        <v>99</v>
      </c>
      <c r="U45" s="430" t="s">
        <v>128</v>
      </c>
      <c r="W45" s="131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5">
        <f t="shared" si="1"/>
        <v>9.1033227127903515E-3</v>
      </c>
    </row>
    <row r="46" spans="1:31" x14ac:dyDescent="0.25">
      <c r="A46" s="376"/>
      <c r="B46" s="376"/>
      <c r="C46" s="376"/>
      <c r="D46" s="376"/>
      <c r="E46" s="377"/>
      <c r="F46" s="376"/>
      <c r="G46" s="376"/>
      <c r="H46" s="376"/>
      <c r="I46" s="376"/>
      <c r="J46" s="376"/>
      <c r="K46" s="376"/>
      <c r="L46" s="376"/>
      <c r="M46" s="376"/>
      <c r="O46" s="82">
        <v>1.07</v>
      </c>
      <c r="P46" s="82">
        <f t="shared" si="5"/>
        <v>46.545000000000002</v>
      </c>
      <c r="Q46" s="2"/>
      <c r="T46" s="92" t="s">
        <v>100</v>
      </c>
      <c r="U46" s="430" t="s">
        <v>128</v>
      </c>
      <c r="W46" s="131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5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46.11</v>
      </c>
      <c r="Q47" s="2"/>
      <c r="T47" s="92" t="s">
        <v>101</v>
      </c>
      <c r="U47" s="430">
        <v>49.6</v>
      </c>
      <c r="W47" s="131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5">
        <f t="shared" si="1"/>
        <v>7.9293158133213471E-3</v>
      </c>
    </row>
    <row r="48" spans="1:31" x14ac:dyDescent="0.25">
      <c r="A48" s="376"/>
      <c r="B48" s="376"/>
      <c r="C48" s="376"/>
      <c r="D48" s="376"/>
      <c r="E48" s="377"/>
      <c r="F48" s="376"/>
      <c r="G48" s="376"/>
      <c r="H48" s="376"/>
      <c r="I48" s="376"/>
      <c r="J48" s="376"/>
      <c r="K48" s="376"/>
      <c r="L48" s="376"/>
      <c r="M48" s="376"/>
      <c r="O48" s="82">
        <v>1.05</v>
      </c>
      <c r="P48" s="82">
        <f t="shared" si="5"/>
        <v>45.675000000000004</v>
      </c>
      <c r="Q48" s="2"/>
      <c r="T48" s="92" t="s">
        <v>102</v>
      </c>
      <c r="U48" s="430">
        <v>1.8201099999999999</v>
      </c>
      <c r="W48" s="131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5">
        <f t="shared" si="1"/>
        <v>-7.8669363902000855E-3</v>
      </c>
    </row>
    <row r="49" spans="15:31" x14ac:dyDescent="0.25">
      <c r="O49" s="82">
        <v>1.04</v>
      </c>
      <c r="P49" s="82">
        <f t="shared" si="5"/>
        <v>45.24</v>
      </c>
      <c r="Q49" s="2"/>
      <c r="T49" s="92" t="s">
        <v>121</v>
      </c>
      <c r="U49" s="430" t="s">
        <v>391</v>
      </c>
      <c r="W49" s="131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5">
        <f t="shared" si="1"/>
        <v>-1.4399645547186535E-2</v>
      </c>
    </row>
    <row r="50" spans="15:31" x14ac:dyDescent="0.25">
      <c r="O50" s="82">
        <v>1.03</v>
      </c>
      <c r="P50" s="82">
        <f t="shared" si="5"/>
        <v>44.805</v>
      </c>
      <c r="Q50" s="2"/>
      <c r="T50" s="92"/>
      <c r="U50" s="430"/>
      <c r="W50" s="131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5">
        <f t="shared" si="1"/>
        <v>3.3188372625314821E-2</v>
      </c>
    </row>
    <row r="51" spans="15:31" x14ac:dyDescent="0.25">
      <c r="O51" s="82">
        <v>1.02</v>
      </c>
      <c r="P51" s="82">
        <f t="shared" si="5"/>
        <v>44.37</v>
      </c>
      <c r="Q51" s="2"/>
      <c r="T51" s="92" t="s">
        <v>104</v>
      </c>
      <c r="U51" s="430" t="s">
        <v>732</v>
      </c>
      <c r="W51" s="131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5">
        <f t="shared" si="1"/>
        <v>-1.6876687668766932E-2</v>
      </c>
    </row>
    <row r="52" spans="15:31" x14ac:dyDescent="0.25">
      <c r="O52" s="82">
        <v>1.01</v>
      </c>
      <c r="P52" s="82">
        <f t="shared" si="5"/>
        <v>43.935000000000002</v>
      </c>
      <c r="Q52" s="2"/>
      <c r="T52" s="92" t="s">
        <v>105</v>
      </c>
      <c r="U52" s="430" t="s">
        <v>472</v>
      </c>
      <c r="W52" s="131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5">
        <f t="shared" si="1"/>
        <v>1.2531328320801949E-2</v>
      </c>
    </row>
    <row r="53" spans="15:31" x14ac:dyDescent="0.25">
      <c r="O53" s="82">
        <v>1</v>
      </c>
      <c r="P53" s="82">
        <f t="shared" si="5"/>
        <v>43.5</v>
      </c>
      <c r="Q53" s="2"/>
      <c r="T53" s="92" t="s">
        <v>106</v>
      </c>
      <c r="U53" s="431">
        <v>918194</v>
      </c>
      <c r="W53" s="131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5">
        <f t="shared" si="1"/>
        <v>3.7588652482269502E-2</v>
      </c>
    </row>
    <row r="54" spans="15:31" x14ac:dyDescent="0.25">
      <c r="O54" s="82">
        <v>0.99</v>
      </c>
      <c r="P54" s="82">
        <f t="shared" si="5"/>
        <v>43.064999999999998</v>
      </c>
      <c r="Q54" s="2"/>
      <c r="T54" s="92" t="s">
        <v>109</v>
      </c>
      <c r="U54" s="431">
        <v>897958</v>
      </c>
      <c r="W54" s="131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5">
        <f t="shared" si="1"/>
        <v>-9.3676814988291612E-3</v>
      </c>
    </row>
    <row r="55" spans="15:31" x14ac:dyDescent="0.25">
      <c r="O55" s="82">
        <v>0.98</v>
      </c>
      <c r="P55" s="82">
        <f t="shared" si="5"/>
        <v>42.63</v>
      </c>
      <c r="Q55" s="2"/>
      <c r="T55" s="92" t="s">
        <v>107</v>
      </c>
      <c r="U55" s="430" t="s">
        <v>733</v>
      </c>
      <c r="W55" s="131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5">
        <f t="shared" si="1"/>
        <v>-9.2807424593966958E-3</v>
      </c>
    </row>
    <row r="56" spans="15:31" x14ac:dyDescent="0.25">
      <c r="O56" s="82">
        <v>0.97</v>
      </c>
      <c r="P56" s="82">
        <f t="shared" si="5"/>
        <v>42.195</v>
      </c>
      <c r="Q56" s="2"/>
      <c r="T56" s="92" t="s">
        <v>110</v>
      </c>
      <c r="U56" s="430">
        <v>22.58</v>
      </c>
      <c r="W56" s="131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5">
        <f t="shared" si="1"/>
        <v>-1.1241110346409733E-2</v>
      </c>
    </row>
    <row r="57" spans="15:31" x14ac:dyDescent="0.25">
      <c r="O57" s="82">
        <v>0.96</v>
      </c>
      <c r="P57" s="82">
        <f t="shared" si="5"/>
        <v>41.76</v>
      </c>
      <c r="Q57" s="2"/>
      <c r="T57" s="92" t="s">
        <v>111</v>
      </c>
      <c r="U57" s="430">
        <v>1.92</v>
      </c>
      <c r="W57" s="131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5">
        <f t="shared" si="1"/>
        <v>1.1483693155720509E-3</v>
      </c>
    </row>
    <row r="58" spans="15:31" x14ac:dyDescent="0.25">
      <c r="O58" s="82">
        <v>0.95</v>
      </c>
      <c r="P58" s="82">
        <f t="shared" si="5"/>
        <v>41.324999999999996</v>
      </c>
      <c r="Q58" s="2"/>
      <c r="T58" s="92" t="s">
        <v>108</v>
      </c>
      <c r="U58" s="430" t="s">
        <v>604</v>
      </c>
      <c r="W58" s="131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5">
        <f t="shared" si="1"/>
        <v>-9.1033227127901295E-3</v>
      </c>
    </row>
    <row r="59" spans="15:31" x14ac:dyDescent="0.25">
      <c r="O59" s="82">
        <v>0.94</v>
      </c>
      <c r="P59" s="82">
        <f t="shared" si="5"/>
        <v>40.89</v>
      </c>
      <c r="W59" s="131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5">
        <f t="shared" si="1"/>
        <v>3.1455399061032674E-2</v>
      </c>
    </row>
    <row r="60" spans="15:31" x14ac:dyDescent="0.25">
      <c r="O60" s="82">
        <v>0.93</v>
      </c>
      <c r="P60" s="82">
        <f t="shared" si="5"/>
        <v>40.455000000000005</v>
      </c>
      <c r="W60" s="131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5">
        <f t="shared" si="1"/>
        <v>-1.1600928074245953E-2</v>
      </c>
    </row>
    <row r="61" spans="15:31" x14ac:dyDescent="0.25">
      <c r="O61" s="82">
        <v>0.92</v>
      </c>
      <c r="P61" s="82">
        <f t="shared" si="5"/>
        <v>40.020000000000003</v>
      </c>
      <c r="W61" s="131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5">
        <f t="shared" si="1"/>
        <v>2.3752969121140222E-2</v>
      </c>
    </row>
    <row r="62" spans="15:31" x14ac:dyDescent="0.25">
      <c r="O62" s="82">
        <v>0.91</v>
      </c>
      <c r="P62" s="82">
        <f t="shared" si="5"/>
        <v>39.585000000000001</v>
      </c>
      <c r="W62" s="131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5">
        <f t="shared" si="1"/>
        <v>1.7891682785299956E-2</v>
      </c>
    </row>
    <row r="63" spans="15:31" x14ac:dyDescent="0.25">
      <c r="O63" s="82">
        <v>0.9</v>
      </c>
      <c r="P63" s="82">
        <f t="shared" si="5"/>
        <v>39.15</v>
      </c>
      <c r="W63" s="131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5">
        <f t="shared" si="1"/>
        <v>-1.2887828162291171E-2</v>
      </c>
    </row>
    <row r="64" spans="15:31" x14ac:dyDescent="0.25">
      <c r="W64" s="131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5">
        <f t="shared" si="1"/>
        <v>1.551139117789635E-2</v>
      </c>
    </row>
    <row r="65" spans="23:31" x14ac:dyDescent="0.25">
      <c r="W65" s="131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5">
        <f t="shared" si="1"/>
        <v>1.2132977432661729E-3</v>
      </c>
    </row>
    <row r="66" spans="23:31" x14ac:dyDescent="0.25">
      <c r="W66" s="131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5">
        <f t="shared" si="1"/>
        <v>1.2281994595922274E-2</v>
      </c>
    </row>
    <row r="67" spans="23:31" x14ac:dyDescent="0.25">
      <c r="W67" s="131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5">
        <f>AC67/AC68-1</f>
        <v>3.1416265518115161E-2</v>
      </c>
    </row>
    <row r="68" spans="23:31" x14ac:dyDescent="0.25">
      <c r="W68" s="131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1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5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4"/>
      <c r="M3" s="4"/>
      <c r="O3" s="11" t="s">
        <v>58</v>
      </c>
      <c r="Q3" s="2">
        <f>IF(Q2=0, Q4, (F18-K18-M18)/Q2)</f>
        <v>115.96</v>
      </c>
      <c r="W3" s="131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5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115.96</v>
      </c>
      <c r="R4" s="497">
        <v>-1.0200000000000001E-2</v>
      </c>
      <c r="W4" s="131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5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5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1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5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1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5">
        <f t="shared" si="1"/>
        <v>-6.0315770800070112E-3</v>
      </c>
    </row>
    <row r="8" spans="1:31" x14ac:dyDescent="0.25">
      <c r="O8" s="11" t="s">
        <v>181</v>
      </c>
      <c r="P8" s="34"/>
      <c r="Q8" s="2">
        <f>K18+M18-F18+Q2*Q4</f>
        <v>0</v>
      </c>
      <c r="W8" s="131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5">
        <f t="shared" si="1"/>
        <v>8.1373513368505623E-3</v>
      </c>
    </row>
    <row r="9" spans="1:31" x14ac:dyDescent="0.25">
      <c r="O9" s="11" t="s">
        <v>211</v>
      </c>
      <c r="Q9" s="135">
        <f>IF(Q2=0, 0, Q8/Q6)</f>
        <v>0</v>
      </c>
      <c r="W9" s="131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5">
        <f t="shared" si="1"/>
        <v>2.6833631484790565E-4</v>
      </c>
    </row>
    <row r="10" spans="1:31" x14ac:dyDescent="0.25">
      <c r="O10" s="11" t="s">
        <v>210</v>
      </c>
      <c r="P10" s="34"/>
      <c r="Q10" s="2">
        <f>M27</f>
        <v>114.84999999999991</v>
      </c>
      <c r="W10" s="131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5">
        <f t="shared" si="1"/>
        <v>-3.5765379113028573E-4</v>
      </c>
    </row>
    <row r="11" spans="1:31" x14ac:dyDescent="0.25">
      <c r="O11" s="11" t="s">
        <v>176</v>
      </c>
      <c r="P11" s="34"/>
      <c r="Q11" s="135">
        <f>IF(U58="N/A (N/A)", 0, VALUE(TRIM(CLEAN(MID(U58, FIND("(", U58)+1, 5)))))</f>
        <v>2.35E-2</v>
      </c>
      <c r="W11" s="131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5">
        <f t="shared" si="1"/>
        <v>-8.0407397480575238E-4</v>
      </c>
    </row>
    <row r="12" spans="1:31" x14ac:dyDescent="0.25">
      <c r="W12" s="131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5">
        <f t="shared" si="1"/>
        <v>-2.0506419400855291E-3</v>
      </c>
    </row>
    <row r="13" spans="1:31" x14ac:dyDescent="0.25">
      <c r="W13" s="131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5">
        <f t="shared" si="1"/>
        <v>-1.1893225266496388E-2</v>
      </c>
    </row>
    <row r="14" spans="1:31" x14ac:dyDescent="0.25">
      <c r="W14" s="131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5">
        <f t="shared" si="1"/>
        <v>5.2886734244173006E-4</v>
      </c>
    </row>
    <row r="15" spans="1:31" x14ac:dyDescent="0.25">
      <c r="W15" s="131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5">
        <f t="shared" si="1"/>
        <v>9.8807192451486614E-3</v>
      </c>
    </row>
    <row r="16" spans="1:31" x14ac:dyDescent="0.25">
      <c r="W16" s="131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5">
        <f t="shared" si="1"/>
        <v>-6.5440396179695659E-3</v>
      </c>
    </row>
    <row r="17" spans="1:31" x14ac:dyDescent="0.25">
      <c r="W17" s="131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5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1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5">
        <f t="shared" si="1"/>
        <v>-4.2738847831894633E-3</v>
      </c>
    </row>
    <row r="19" spans="1:31" x14ac:dyDescent="0.25">
      <c r="W19" s="131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5">
        <f t="shared" si="1"/>
        <v>1.5159621901195131E-3</v>
      </c>
    </row>
    <row r="20" spans="1:31" x14ac:dyDescent="0.25">
      <c r="W20" s="131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5">
        <f t="shared" si="1"/>
        <v>1.8761726078799779E-3</v>
      </c>
    </row>
    <row r="21" spans="1:31" x14ac:dyDescent="0.25">
      <c r="W21" s="131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5">
        <f t="shared" si="1"/>
        <v>1.6107382550336613E-3</v>
      </c>
    </row>
    <row r="22" spans="1:31" x14ac:dyDescent="0.25">
      <c r="W22" s="131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5">
        <f t="shared" si="1"/>
        <v>-4.7203420021375564E-3</v>
      </c>
    </row>
    <row r="23" spans="1:31" x14ac:dyDescent="0.25">
      <c r="W23" s="131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5">
        <f t="shared" si="1"/>
        <v>5.552570302704618E-3</v>
      </c>
    </row>
    <row r="24" spans="1:31" x14ac:dyDescent="0.25">
      <c r="W24" s="131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5">
        <f t="shared" si="1"/>
        <v>-6.053053231262262E-3</v>
      </c>
    </row>
    <row r="25" spans="1:31" x14ac:dyDescent="0.25">
      <c r="W25" s="131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5">
        <f t="shared" si="1"/>
        <v>-3.1058656491258496E-3</v>
      </c>
    </row>
    <row r="26" spans="1:31" x14ac:dyDescent="0.25">
      <c r="W26" s="131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5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1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5">
        <f t="shared" si="1"/>
        <v>1.0039982230120037E-2</v>
      </c>
    </row>
    <row r="28" spans="1:31" x14ac:dyDescent="0.25">
      <c r="A28" s="260" t="s">
        <v>1</v>
      </c>
      <c r="B28" s="260" t="s">
        <v>2</v>
      </c>
      <c r="C28" s="260" t="s">
        <v>4</v>
      </c>
      <c r="D28" s="261" t="s">
        <v>5</v>
      </c>
      <c r="E28" s="261" t="s">
        <v>94</v>
      </c>
      <c r="F28" s="261" t="s">
        <v>60</v>
      </c>
      <c r="G28" s="260" t="s">
        <v>3</v>
      </c>
      <c r="H28" s="260" t="s">
        <v>6</v>
      </c>
      <c r="I28" s="260" t="s">
        <v>7</v>
      </c>
      <c r="J28" s="260" t="s">
        <v>95</v>
      </c>
      <c r="K28" s="260" t="s">
        <v>61</v>
      </c>
      <c r="L28" s="260" t="s">
        <v>77</v>
      </c>
      <c r="M28" s="260" t="s">
        <v>38</v>
      </c>
      <c r="W28" s="131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5">
        <f t="shared" si="1"/>
        <v>-2.3047602162928893E-3</v>
      </c>
    </row>
    <row r="29" spans="1:31" x14ac:dyDescent="0.25">
      <c r="A29" s="262" t="s">
        <v>54</v>
      </c>
      <c r="B29" s="263">
        <v>42214</v>
      </c>
      <c r="C29" s="258">
        <v>10</v>
      </c>
      <c r="D29" s="259">
        <v>99.58</v>
      </c>
      <c r="E29" s="259">
        <v>0</v>
      </c>
      <c r="F29" s="259">
        <f>C29*D29</f>
        <v>995.8</v>
      </c>
      <c r="G29" s="263">
        <v>42237</v>
      </c>
      <c r="H29" s="258">
        <v>10</v>
      </c>
      <c r="I29" s="258">
        <v>99.56</v>
      </c>
      <c r="J29" s="259">
        <v>0.02</v>
      </c>
      <c r="K29" s="258">
        <f>I29*H29-J29</f>
        <v>995.58</v>
      </c>
      <c r="L29" s="263">
        <v>42257</v>
      </c>
      <c r="M29" s="259">
        <v>9.6</v>
      </c>
      <c r="W29" s="131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5">
        <f t="shared" si="1"/>
        <v>3.112217677396556E-3</v>
      </c>
    </row>
    <row r="30" spans="1:31" x14ac:dyDescent="0.25">
      <c r="A30" s="265" t="s">
        <v>71</v>
      </c>
      <c r="B30" s="263">
        <v>42219</v>
      </c>
      <c r="C30" s="258">
        <v>5</v>
      </c>
      <c r="D30" s="259">
        <v>97.95</v>
      </c>
      <c r="E30" s="259">
        <v>0</v>
      </c>
      <c r="F30" s="259">
        <f>C30*D30</f>
        <v>489.75</v>
      </c>
      <c r="G30" s="263">
        <v>42304</v>
      </c>
      <c r="H30" s="264">
        <v>15</v>
      </c>
      <c r="I30" s="259">
        <v>98.75</v>
      </c>
      <c r="J30" s="259">
        <v>0.03</v>
      </c>
      <c r="K30" s="258">
        <f>I30*H30-J30</f>
        <v>1481.22</v>
      </c>
      <c r="L30" s="258"/>
      <c r="M30" s="258"/>
      <c r="W30" s="131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5">
        <f t="shared" si="1"/>
        <v>3.3009189044517218E-3</v>
      </c>
    </row>
    <row r="31" spans="1:31" x14ac:dyDescent="0.25">
      <c r="A31" s="258"/>
      <c r="B31" s="263">
        <v>42272</v>
      </c>
      <c r="C31" s="258">
        <v>10</v>
      </c>
      <c r="D31" s="259">
        <v>88.6</v>
      </c>
      <c r="E31" s="259">
        <v>0</v>
      </c>
      <c r="F31" s="259">
        <f>C31*D31</f>
        <v>886</v>
      </c>
      <c r="G31" s="258"/>
      <c r="H31" s="258"/>
      <c r="I31" s="258"/>
      <c r="J31" s="258"/>
      <c r="K31" s="258"/>
      <c r="L31" s="258"/>
      <c r="M31" s="258"/>
      <c r="W31" s="131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5">
        <f t="shared" si="1"/>
        <v>-5.0594709746137889E-3</v>
      </c>
    </row>
    <row r="32" spans="1:31" x14ac:dyDescent="0.25">
      <c r="A32" s="258"/>
      <c r="B32" s="258"/>
      <c r="C32" s="258"/>
      <c r="D32" s="259"/>
      <c r="E32" s="259"/>
      <c r="F32" s="259"/>
      <c r="G32" s="258"/>
      <c r="H32" s="258"/>
      <c r="I32" s="258"/>
      <c r="J32" s="258"/>
      <c r="K32" s="258"/>
      <c r="L32" s="258"/>
      <c r="M32" s="258"/>
      <c r="W32" s="131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5">
        <f t="shared" si="1"/>
        <v>1.4222222222222136E-3</v>
      </c>
    </row>
    <row r="33" spans="1:31" x14ac:dyDescent="0.25">
      <c r="A33" s="258"/>
      <c r="B33" s="258"/>
      <c r="C33" s="258"/>
      <c r="D33" s="259"/>
      <c r="E33" s="259"/>
      <c r="F33" s="259"/>
      <c r="G33" s="258"/>
      <c r="H33" s="258"/>
      <c r="I33" s="258"/>
      <c r="J33" s="258"/>
      <c r="K33" s="258"/>
      <c r="L33" s="258"/>
      <c r="M33" s="258"/>
      <c r="W33" s="131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5">
        <f t="shared" si="1"/>
        <v>3.1208203299153414E-3</v>
      </c>
    </row>
    <row r="34" spans="1:31" x14ac:dyDescent="0.25">
      <c r="A34" s="258"/>
      <c r="B34" s="258"/>
      <c r="C34" s="258"/>
      <c r="D34" s="259"/>
      <c r="E34" s="259"/>
      <c r="F34" s="259"/>
      <c r="G34" s="258"/>
      <c r="H34" s="258"/>
      <c r="I34" s="258"/>
      <c r="J34" s="258"/>
      <c r="K34" s="258"/>
      <c r="L34" s="258"/>
      <c r="M34" s="258"/>
      <c r="W34" s="131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5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1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5">
        <f t="shared" si="1"/>
        <v>1.429720310964111E-3</v>
      </c>
    </row>
    <row r="36" spans="1:31" x14ac:dyDescent="0.25">
      <c r="A36" s="258"/>
      <c r="B36" s="258"/>
      <c r="C36" s="258"/>
      <c r="D36" s="259"/>
      <c r="E36" s="259"/>
      <c r="F36" s="259"/>
      <c r="G36" s="258"/>
      <c r="H36" s="258"/>
      <c r="I36" s="258"/>
      <c r="J36" s="258"/>
      <c r="K36" s="258"/>
      <c r="L36" s="258"/>
      <c r="M36" s="258"/>
      <c r="W36" s="131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5" t="e">
        <f t="shared" si="1"/>
        <v>#DIV/0!</v>
      </c>
    </row>
    <row r="37" spans="1:31" x14ac:dyDescent="0.25">
      <c r="A37" s="258"/>
      <c r="B37" s="258"/>
      <c r="C37" s="258"/>
      <c r="D37" s="259"/>
      <c r="E37" s="259"/>
      <c r="F37" s="259"/>
      <c r="G37" s="258"/>
      <c r="H37" s="258"/>
      <c r="I37" s="258"/>
      <c r="J37" s="258"/>
      <c r="K37" s="258"/>
      <c r="L37" s="258"/>
      <c r="M37" s="258"/>
      <c r="W37" s="131">
        <v>42781</v>
      </c>
      <c r="X37" s="10" t="s">
        <v>214</v>
      </c>
      <c r="Y37" s="10"/>
      <c r="Z37" s="10"/>
      <c r="AA37" s="10"/>
      <c r="AB37" s="94"/>
      <c r="AC37" s="10"/>
      <c r="AD37" s="2">
        <f t="shared" si="0"/>
        <v>0</v>
      </c>
      <c r="AE37" s="135">
        <f t="shared" si="1"/>
        <v>-1</v>
      </c>
    </row>
    <row r="38" spans="1:31" x14ac:dyDescent="0.25">
      <c r="W38" s="131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5">
        <f t="shared" si="1"/>
        <v>-4.0409482758620996E-3</v>
      </c>
    </row>
    <row r="39" spans="1:31" ht="20.25" thickBot="1" x14ac:dyDescent="0.35">
      <c r="P39" s="716" t="s">
        <v>78</v>
      </c>
      <c r="Q39" s="716"/>
      <c r="W39" s="131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5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127.556</v>
      </c>
      <c r="W40" s="131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5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126.3964</v>
      </c>
      <c r="W41" s="131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5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125.2368</v>
      </c>
      <c r="T42" s="90" t="s">
        <v>112</v>
      </c>
      <c r="W42" s="131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5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124.0772</v>
      </c>
      <c r="T43" s="126" t="s">
        <v>97</v>
      </c>
      <c r="U43" s="97">
        <v>112.99</v>
      </c>
      <c r="W43" s="131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5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122.91759999999999</v>
      </c>
      <c r="T44" s="92" t="s">
        <v>98</v>
      </c>
      <c r="U44" s="87">
        <v>113.14</v>
      </c>
      <c r="W44" s="131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5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121.758</v>
      </c>
      <c r="T45" s="92" t="s">
        <v>99</v>
      </c>
      <c r="U45" s="87" t="s">
        <v>128</v>
      </c>
      <c r="W45" s="131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5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120.5984</v>
      </c>
      <c r="T46" s="92" t="s">
        <v>100</v>
      </c>
      <c r="U46" s="87" t="s">
        <v>128</v>
      </c>
      <c r="W46" s="131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5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119.4388</v>
      </c>
      <c r="T47" s="92" t="s">
        <v>101</v>
      </c>
      <c r="U47" s="87">
        <v>118.87</v>
      </c>
      <c r="W47" s="131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5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118.27919999999999</v>
      </c>
      <c r="T48" s="92" t="s">
        <v>102</v>
      </c>
      <c r="U48" s="87">
        <v>1.0463199999999999</v>
      </c>
      <c r="W48" s="131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5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117.11959999999999</v>
      </c>
      <c r="T49" s="92" t="s">
        <v>121</v>
      </c>
      <c r="U49" s="87" t="s">
        <v>391</v>
      </c>
      <c r="W49" s="131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5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115.96</v>
      </c>
      <c r="T50" s="92"/>
      <c r="U50" s="87"/>
      <c r="W50" s="131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5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114.8004</v>
      </c>
      <c r="T51" s="92" t="s">
        <v>104</v>
      </c>
      <c r="U51" s="87" t="s">
        <v>734</v>
      </c>
      <c r="W51" s="131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5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113.6408</v>
      </c>
      <c r="T52" s="92" t="s">
        <v>105</v>
      </c>
      <c r="U52" s="87" t="s">
        <v>537</v>
      </c>
      <c r="W52" s="131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5">
        <f t="shared" si="1"/>
        <v>-5.8584948174854601E-3</v>
      </c>
    </row>
    <row r="53" spans="15:31" x14ac:dyDescent="0.25">
      <c r="P53" s="82">
        <v>0.97</v>
      </c>
      <c r="Q53" s="82">
        <f t="shared" si="2"/>
        <v>112.48119999999999</v>
      </c>
      <c r="T53" s="92" t="s">
        <v>106</v>
      </c>
      <c r="U53" s="89">
        <v>3011928</v>
      </c>
      <c r="W53" s="131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5">
        <f t="shared" si="1"/>
        <v>1.1486917677089981E-2</v>
      </c>
    </row>
    <row r="54" spans="15:31" x14ac:dyDescent="0.25">
      <c r="P54" s="82">
        <v>0.96</v>
      </c>
      <c r="Q54" s="82">
        <f t="shared" si="2"/>
        <v>111.32159999999999</v>
      </c>
      <c r="T54" s="92" t="s">
        <v>109</v>
      </c>
      <c r="U54" s="89">
        <v>2987150</v>
      </c>
      <c r="W54" s="131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5">
        <f t="shared" si="1"/>
        <v>-3.9952783074548304E-3</v>
      </c>
    </row>
    <row r="55" spans="15:31" x14ac:dyDescent="0.25">
      <c r="P55" s="82">
        <v>0.95</v>
      </c>
      <c r="Q55" s="82">
        <f t="shared" si="2"/>
        <v>110.16199999999999</v>
      </c>
      <c r="T55" s="92" t="s">
        <v>107</v>
      </c>
      <c r="U55" s="87" t="s">
        <v>735</v>
      </c>
      <c r="W55" s="131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5">
        <f t="shared" si="1"/>
        <v>5.4510765876258915E-4</v>
      </c>
    </row>
    <row r="56" spans="15:31" x14ac:dyDescent="0.25">
      <c r="P56" s="82">
        <v>0.94</v>
      </c>
      <c r="Q56" s="82">
        <f t="shared" si="2"/>
        <v>109.00239999999999</v>
      </c>
      <c r="T56" s="92" t="s">
        <v>110</v>
      </c>
      <c r="U56" s="87">
        <v>18.39</v>
      </c>
      <c r="W56" s="131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5">
        <f t="shared" si="1"/>
        <v>2.7329871549603979E-3</v>
      </c>
    </row>
    <row r="57" spans="15:31" x14ac:dyDescent="0.25">
      <c r="P57" s="82">
        <v>0.93</v>
      </c>
      <c r="Q57" s="82">
        <f t="shared" si="2"/>
        <v>107.8428</v>
      </c>
      <c r="T57" s="92" t="s">
        <v>111</v>
      </c>
      <c r="U57" s="87">
        <v>6.12</v>
      </c>
      <c r="W57" s="131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5">
        <f t="shared" si="1"/>
        <v>4.1163556531285117E-3</v>
      </c>
    </row>
    <row r="58" spans="15:31" x14ac:dyDescent="0.25">
      <c r="P58" s="82">
        <v>0.92</v>
      </c>
      <c r="Q58" s="82">
        <f t="shared" si="2"/>
        <v>106.6832</v>
      </c>
      <c r="T58" s="92" t="s">
        <v>108</v>
      </c>
      <c r="U58" s="87" t="s">
        <v>605</v>
      </c>
      <c r="W58" s="131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5">
        <f t="shared" si="1"/>
        <v>-2.2816464360683186E-3</v>
      </c>
    </row>
    <row r="59" spans="15:31" x14ac:dyDescent="0.25">
      <c r="P59" s="82">
        <v>0.91</v>
      </c>
      <c r="Q59" s="82">
        <f t="shared" si="2"/>
        <v>105.5236</v>
      </c>
      <c r="W59" s="131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5">
        <f t="shared" si="1"/>
        <v>-5.3558460421205822E-3</v>
      </c>
    </row>
    <row r="60" spans="15:31" x14ac:dyDescent="0.25">
      <c r="P60" s="82">
        <v>0.9</v>
      </c>
      <c r="Q60" s="82">
        <f t="shared" si="2"/>
        <v>104.36399999999999</v>
      </c>
      <c r="W60" s="131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5">
        <f t="shared" si="1"/>
        <v>-1.6313213703099683E-3</v>
      </c>
    </row>
    <row r="61" spans="15:31" x14ac:dyDescent="0.25">
      <c r="W61" s="131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5">
        <f t="shared" si="1"/>
        <v>-2.3508137432187715E-3</v>
      </c>
    </row>
    <row r="62" spans="15:31" x14ac:dyDescent="0.25">
      <c r="W62" s="131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5">
        <f t="shared" si="1"/>
        <v>-2.1652832912306685E-3</v>
      </c>
    </row>
    <row r="63" spans="15:31" x14ac:dyDescent="0.25">
      <c r="W63" s="131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5">
        <f t="shared" si="1"/>
        <v>-9.2956739363603269E-3</v>
      </c>
    </row>
    <row r="64" spans="15:31" x14ac:dyDescent="0.25">
      <c r="W64" s="131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5">
        <f t="shared" si="1"/>
        <v>1.0750745324780819E-2</v>
      </c>
    </row>
    <row r="65" spans="23:31" x14ac:dyDescent="0.25">
      <c r="W65" s="131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5">
        <f t="shared" si="1"/>
        <v>4.0820029027577309E-3</v>
      </c>
    </row>
    <row r="66" spans="23:31" x14ac:dyDescent="0.25">
      <c r="W66" s="131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5">
        <f t="shared" si="1"/>
        <v>6.3538168285370844E-4</v>
      </c>
    </row>
    <row r="67" spans="23:31" x14ac:dyDescent="0.25">
      <c r="W67" s="131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5">
        <f>AC67/AC68-1</f>
        <v>1.1012205194090186E-2</v>
      </c>
    </row>
    <row r="68" spans="23:31" x14ac:dyDescent="0.25">
      <c r="W68" s="131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5" t="e">
        <f>AC68/AC69-1</f>
        <v>#DIV/0!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2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1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5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2"/>
      <c r="I3" s="3"/>
      <c r="J3" s="3"/>
      <c r="K3" s="4"/>
      <c r="L3" s="73"/>
      <c r="M3" s="3"/>
      <c r="O3" s="11" t="s">
        <v>58</v>
      </c>
      <c r="Q3" s="2">
        <f>IF(Q2=0, Q4, (F18-K18-M18)/Q2)</f>
        <v>194.5</v>
      </c>
      <c r="W3" s="131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5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1">
        <v>1153</v>
      </c>
      <c r="AO3" s="231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2"/>
      <c r="I4" s="3"/>
      <c r="J4" s="3"/>
      <c r="K4" s="4"/>
      <c r="L4" s="4"/>
      <c r="M4" s="4"/>
      <c r="O4" s="11" t="s">
        <v>66</v>
      </c>
      <c r="Q4" s="55">
        <v>194.5</v>
      </c>
      <c r="R4" s="497">
        <v>4.1000000000000003E-3</v>
      </c>
      <c r="W4" s="131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5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1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2"/>
      <c r="I5" s="3"/>
      <c r="J5" s="3"/>
      <c r="K5" s="4"/>
      <c r="L5" s="4"/>
      <c r="M5" s="4"/>
      <c r="O5" s="11" t="s">
        <v>67</v>
      </c>
      <c r="Q5" s="3">
        <f>Q4*Q2</f>
        <v>0</v>
      </c>
      <c r="W5" s="131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5">
        <f t="shared" si="1"/>
        <v>-5.9397539244804287E-3</v>
      </c>
      <c r="AI5" t="s">
        <v>165</v>
      </c>
      <c r="AJ5">
        <v>10</v>
      </c>
      <c r="AK5">
        <v>115.45</v>
      </c>
      <c r="AL5" s="231">
        <v>1154.52</v>
      </c>
      <c r="AO5" s="231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2"/>
      <c r="I6" s="3"/>
      <c r="J6" s="3"/>
      <c r="K6" s="4"/>
      <c r="L6" s="4"/>
      <c r="M6" s="4"/>
      <c r="O6" s="11" t="s">
        <v>64</v>
      </c>
      <c r="Q6" s="2">
        <f>Q3*Q2</f>
        <v>0</v>
      </c>
      <c r="W6" s="131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5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2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1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5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4"/>
      <c r="Q8" s="2">
        <f>K18+M18-F18+Q2*Q4</f>
        <v>0</v>
      </c>
      <c r="W8" s="131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5">
        <f t="shared" si="1"/>
        <v>4.5565006075334313E-3</v>
      </c>
    </row>
    <row r="9" spans="1:43" x14ac:dyDescent="0.25">
      <c r="O9" s="11" t="s">
        <v>211</v>
      </c>
      <c r="Q9" s="135">
        <f>IF(Q2=0, 0, Q8/Q6)</f>
        <v>0</v>
      </c>
      <c r="W9" s="131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5">
        <f t="shared" si="1"/>
        <v>-2.4242424242424399E-3</v>
      </c>
    </row>
    <row r="10" spans="1:43" x14ac:dyDescent="0.25">
      <c r="O10" s="11" t="s">
        <v>210</v>
      </c>
      <c r="P10" s="34"/>
      <c r="Q10" s="2">
        <f>M33</f>
        <v>176.70000000000073</v>
      </c>
      <c r="W10" s="131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5">
        <f t="shared" si="1"/>
        <v>-1.75449210478551E-3</v>
      </c>
    </row>
    <row r="11" spans="1:43" x14ac:dyDescent="0.25">
      <c r="O11" s="11" t="s">
        <v>176</v>
      </c>
      <c r="P11" s="34"/>
      <c r="Q11" s="135">
        <f>IF(U58="N/A (N/A)", 0, VALUE(TRIM(CLEAN(MID(U58, FIND("(", U58)+1, 5)))))</f>
        <v>1.52E-2</v>
      </c>
      <c r="W11" s="131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5">
        <f t="shared" si="1"/>
        <v>-1.0417290307130456E-2</v>
      </c>
    </row>
    <row r="12" spans="1:43" x14ac:dyDescent="0.25">
      <c r="W12" s="131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5">
        <f t="shared" si="1"/>
        <v>-3.9952295766249035E-3</v>
      </c>
    </row>
    <row r="13" spans="1:43" x14ac:dyDescent="0.25">
      <c r="W13" s="131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5">
        <f t="shared" si="1"/>
        <v>-1.7857142857143904E-3</v>
      </c>
    </row>
    <row r="14" spans="1:43" x14ac:dyDescent="0.25">
      <c r="W14" s="131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5">
        <f t="shared" si="1"/>
        <v>-1.0017678255745399E-2</v>
      </c>
    </row>
    <row r="15" spans="1:43" x14ac:dyDescent="0.25">
      <c r="W15" s="131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5">
        <f t="shared" si="1"/>
        <v>-9.3403385872738998E-3</v>
      </c>
    </row>
    <row r="16" spans="1:43" x14ac:dyDescent="0.25">
      <c r="W16" s="131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5">
        <f t="shared" si="1"/>
        <v>-2.7942717429269015E-3</v>
      </c>
    </row>
    <row r="17" spans="1:31" x14ac:dyDescent="0.25">
      <c r="W17" s="131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5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0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1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5">
        <f t="shared" si="1"/>
        <v>-6.7563597908466555E-3</v>
      </c>
    </row>
    <row r="19" spans="1:31" x14ac:dyDescent="0.25">
      <c r="W19" s="131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5">
        <f t="shared" si="1"/>
        <v>1.3531003647488937E-3</v>
      </c>
    </row>
    <row r="20" spans="1:31" x14ac:dyDescent="0.25">
      <c r="B20" s="188" t="s">
        <v>113</v>
      </c>
      <c r="C20" s="188" t="s">
        <v>146</v>
      </c>
      <c r="D20" s="189" t="s">
        <v>145</v>
      </c>
      <c r="E20" s="191" t="s">
        <v>147</v>
      </c>
      <c r="F20" s="192" t="s">
        <v>65</v>
      </c>
      <c r="G20" s="226" t="s">
        <v>151</v>
      </c>
      <c r="H20" s="192" t="s">
        <v>88</v>
      </c>
      <c r="W20" s="131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5">
        <f t="shared" si="1"/>
        <v>1.1725492530206605E-2</v>
      </c>
    </row>
    <row r="21" spans="1:31" x14ac:dyDescent="0.25">
      <c r="B21" s="19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29">
        <f t="shared" ref="H21:H27" si="3">IF(C21=0, D21, (E21-D21)/D21)</f>
        <v>7.7443812618467348E-2</v>
      </c>
      <c r="W21" s="131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5">
        <f t="shared" si="1"/>
        <v>5.9555714370795876E-4</v>
      </c>
    </row>
    <row r="22" spans="1:31" x14ac:dyDescent="0.25">
      <c r="B22" s="190">
        <v>42328</v>
      </c>
      <c r="C22" s="10">
        <v>0</v>
      </c>
      <c r="D22" s="199" t="s">
        <v>128</v>
      </c>
      <c r="E22" s="40">
        <v>112.33</v>
      </c>
      <c r="F22" s="40">
        <v>27.05</v>
      </c>
      <c r="G22" s="40">
        <f t="shared" si="2"/>
        <v>0</v>
      </c>
      <c r="H22" s="229" t="str">
        <f t="shared" si="3"/>
        <v>N/A</v>
      </c>
      <c r="W22" s="131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5" t="e">
        <f t="shared" si="1"/>
        <v>#DIV/0!</v>
      </c>
    </row>
    <row r="23" spans="1:31" x14ac:dyDescent="0.25">
      <c r="B23" s="19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29">
        <f t="shared" si="3"/>
        <v>2.4489795918367373E-2</v>
      </c>
      <c r="W23" s="131">
        <v>42802</v>
      </c>
      <c r="X23" s="10" t="s">
        <v>575</v>
      </c>
      <c r="Y23" s="10"/>
      <c r="Z23" s="10"/>
      <c r="AA23" s="10"/>
      <c r="AB23" s="94"/>
      <c r="AC23" s="10"/>
      <c r="AD23" s="2">
        <f t="shared" si="0"/>
        <v>0</v>
      </c>
      <c r="AE23" s="135">
        <f t="shared" si="1"/>
        <v>-1</v>
      </c>
    </row>
    <row r="24" spans="1:31" x14ac:dyDescent="0.25">
      <c r="B24" s="19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29">
        <f t="shared" si="3"/>
        <v>3.8039037675896482E-2</v>
      </c>
      <c r="W24" s="131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5">
        <f t="shared" si="1"/>
        <v>-2.3204617123816496E-3</v>
      </c>
    </row>
    <row r="25" spans="1:31" x14ac:dyDescent="0.25">
      <c r="B25" s="19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29">
        <f t="shared" si="3"/>
        <v>5.2927825692237841E-2</v>
      </c>
      <c r="W25" s="131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5">
        <f t="shared" si="1"/>
        <v>2.9239766081869956E-3</v>
      </c>
    </row>
    <row r="26" spans="1:31" x14ac:dyDescent="0.25">
      <c r="B26" s="19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29"/>
      <c r="W26" s="131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5">
        <f t="shared" si="1"/>
        <v>5.3392525046493944E-3</v>
      </c>
    </row>
    <row r="27" spans="1:31" x14ac:dyDescent="0.25">
      <c r="B27" s="19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29">
        <f t="shared" si="3"/>
        <v>4.2891700781540747E-2</v>
      </c>
      <c r="W27" s="131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5">
        <f t="shared" si="1"/>
        <v>-3.7652402581879185E-3</v>
      </c>
    </row>
    <row r="28" spans="1:31" x14ac:dyDescent="0.25">
      <c r="B28" s="19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29"/>
      <c r="W28" s="131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5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29"/>
      <c r="W29" s="131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5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29"/>
      <c r="W30" s="131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5">
        <f t="shared" si="1"/>
        <v>1.4281317328408871E-2</v>
      </c>
    </row>
    <row r="31" spans="1:31" x14ac:dyDescent="0.25">
      <c r="G31" s="3"/>
      <c r="H31" s="230"/>
      <c r="W31" s="131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5">
        <f t="shared" si="1"/>
        <v>2.7777777777777679E-3</v>
      </c>
    </row>
    <row r="32" spans="1:31" x14ac:dyDescent="0.25">
      <c r="W32" s="131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5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1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5">
        <f t="shared" si="1"/>
        <v>0</v>
      </c>
    </row>
    <row r="34" spans="1:31" x14ac:dyDescent="0.25">
      <c r="A34" s="260" t="s">
        <v>1</v>
      </c>
      <c r="B34" s="260" t="s">
        <v>2</v>
      </c>
      <c r="C34" s="260" t="s">
        <v>4</v>
      </c>
      <c r="D34" s="261" t="s">
        <v>5</v>
      </c>
      <c r="E34" s="261" t="s">
        <v>94</v>
      </c>
      <c r="F34" s="261" t="s">
        <v>60</v>
      </c>
      <c r="G34" s="260" t="s">
        <v>3</v>
      </c>
      <c r="H34" s="260" t="s">
        <v>6</v>
      </c>
      <c r="I34" s="260" t="s">
        <v>7</v>
      </c>
      <c r="J34" s="260" t="s">
        <v>95</v>
      </c>
      <c r="K34" s="260" t="s">
        <v>61</v>
      </c>
      <c r="L34" s="260" t="s">
        <v>77</v>
      </c>
      <c r="M34" s="260" t="s">
        <v>38</v>
      </c>
      <c r="W34" s="131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5">
        <f t="shared" si="1"/>
        <v>1.8722537094822522E-2</v>
      </c>
    </row>
    <row r="35" spans="1:31" x14ac:dyDescent="0.25">
      <c r="A35" s="262" t="s">
        <v>51</v>
      </c>
      <c r="B35" s="263">
        <v>42212</v>
      </c>
      <c r="C35" s="258">
        <v>10</v>
      </c>
      <c r="D35" s="259">
        <v>120.14</v>
      </c>
      <c r="E35" s="259">
        <v>0</v>
      </c>
      <c r="F35" s="259">
        <f t="shared" ref="F35:F40" si="4">D35*C35</f>
        <v>1201.4000000000001</v>
      </c>
      <c r="G35" s="263">
        <v>42292</v>
      </c>
      <c r="H35" s="264">
        <v>15</v>
      </c>
      <c r="I35" s="259">
        <v>122.5</v>
      </c>
      <c r="J35" s="259">
        <v>0.03</v>
      </c>
      <c r="K35" s="258">
        <f>I35*H35-J35</f>
        <v>1837.47</v>
      </c>
      <c r="L35" s="263">
        <v>42269</v>
      </c>
      <c r="M35" s="259">
        <v>7.5</v>
      </c>
      <c r="W35" s="131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5">
        <f t="shared" si="1"/>
        <v>-3.6862119725220799E-2</v>
      </c>
    </row>
    <row r="36" spans="1:31" x14ac:dyDescent="0.25">
      <c r="A36" s="265" t="s">
        <v>71</v>
      </c>
      <c r="B36" s="263">
        <v>42214</v>
      </c>
      <c r="C36" s="258">
        <v>5</v>
      </c>
      <c r="D36" s="259">
        <v>118.3</v>
      </c>
      <c r="E36" s="259">
        <v>0</v>
      </c>
      <c r="F36" s="259">
        <f t="shared" si="4"/>
        <v>591.5</v>
      </c>
      <c r="G36" s="263">
        <v>42331</v>
      </c>
      <c r="H36" s="264">
        <v>10</v>
      </c>
      <c r="I36" s="259">
        <v>113.5</v>
      </c>
      <c r="J36" s="259">
        <v>0.02</v>
      </c>
      <c r="K36" s="258">
        <f>I36*H36-J36</f>
        <v>1134.98</v>
      </c>
      <c r="L36" s="263">
        <v>42353</v>
      </c>
      <c r="M36" s="259">
        <v>5</v>
      </c>
      <c r="W36" s="131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5">
        <f t="shared" si="1"/>
        <v>-3.910068426197566E-3</v>
      </c>
    </row>
    <row r="37" spans="1:31" x14ac:dyDescent="0.25">
      <c r="A37" s="258"/>
      <c r="B37" s="263">
        <v>42286</v>
      </c>
      <c r="C37" s="258">
        <v>10</v>
      </c>
      <c r="D37" s="259">
        <v>116</v>
      </c>
      <c r="E37" s="259">
        <v>0</v>
      </c>
      <c r="F37" s="259">
        <f t="shared" si="4"/>
        <v>1160</v>
      </c>
      <c r="G37" s="263">
        <v>42340</v>
      </c>
      <c r="H37" s="264">
        <v>10</v>
      </c>
      <c r="I37" s="259">
        <v>115.4</v>
      </c>
      <c r="J37" s="259">
        <v>0.02</v>
      </c>
      <c r="K37" s="258">
        <f>I37*H37-J37</f>
        <v>1153.98</v>
      </c>
      <c r="L37" s="258"/>
      <c r="M37" s="258"/>
      <c r="W37" s="131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5">
        <f t="shared" si="1"/>
        <v>7.1375830666995377E-3</v>
      </c>
    </row>
    <row r="38" spans="1:31" x14ac:dyDescent="0.25">
      <c r="A38" s="258"/>
      <c r="B38" s="263">
        <v>42331</v>
      </c>
      <c r="C38" s="258">
        <v>10</v>
      </c>
      <c r="D38" s="259">
        <v>112.95</v>
      </c>
      <c r="E38" s="259">
        <v>0</v>
      </c>
      <c r="F38" s="259">
        <f t="shared" si="4"/>
        <v>1129.5</v>
      </c>
      <c r="G38" s="263">
        <v>42360</v>
      </c>
      <c r="H38" s="264">
        <v>10</v>
      </c>
      <c r="I38" s="259">
        <v>120.2</v>
      </c>
      <c r="J38" s="259">
        <v>0.02</v>
      </c>
      <c r="K38" s="258">
        <f>I38*H38-J38</f>
        <v>1201.98</v>
      </c>
      <c r="L38" s="258"/>
      <c r="M38" s="258"/>
      <c r="W38" s="131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5">
        <f t="shared" si="1"/>
        <v>7.0016729661070976E-3</v>
      </c>
    </row>
    <row r="39" spans="1:31" x14ac:dyDescent="0.25">
      <c r="A39" s="258"/>
      <c r="B39" s="263">
        <v>42340</v>
      </c>
      <c r="C39" s="258">
        <v>10</v>
      </c>
      <c r="D39" s="259">
        <v>115.3</v>
      </c>
      <c r="E39" s="259">
        <v>0</v>
      </c>
      <c r="F39" s="259">
        <f t="shared" si="4"/>
        <v>1153</v>
      </c>
      <c r="G39" s="263">
        <v>42416</v>
      </c>
      <c r="H39" s="264">
        <v>25</v>
      </c>
      <c r="I39" s="259">
        <v>114.55</v>
      </c>
      <c r="J39" s="259">
        <v>0.06</v>
      </c>
      <c r="K39" s="258">
        <f>I39*H39-J39</f>
        <v>2863.69</v>
      </c>
      <c r="L39" s="258"/>
      <c r="M39" s="258"/>
      <c r="W39" s="131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5">
        <f t="shared" si="1"/>
        <v>7.7427411801433976E-3</v>
      </c>
    </row>
    <row r="40" spans="1:31" x14ac:dyDescent="0.25">
      <c r="A40" s="258"/>
      <c r="B40" s="263">
        <v>42376</v>
      </c>
      <c r="C40" s="258">
        <v>25</v>
      </c>
      <c r="D40" s="259">
        <v>111.7</v>
      </c>
      <c r="E40" s="259">
        <v>0</v>
      </c>
      <c r="F40" s="259">
        <f t="shared" si="4"/>
        <v>2792.5</v>
      </c>
      <c r="G40" s="258"/>
      <c r="H40" s="264"/>
      <c r="I40" s="258"/>
      <c r="J40" s="258"/>
      <c r="K40" s="258"/>
      <c r="L40" s="258"/>
      <c r="M40" s="258"/>
      <c r="O40" s="34"/>
      <c r="W40" s="131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5">
        <f t="shared" si="1"/>
        <v>1.9394394394394165E-3</v>
      </c>
    </row>
    <row r="41" spans="1:31" ht="20.25" thickBot="1" x14ac:dyDescent="0.35">
      <c r="A41" s="258"/>
      <c r="B41" s="258"/>
      <c r="C41" s="258"/>
      <c r="D41" s="259"/>
      <c r="E41" s="259"/>
      <c r="F41" s="259"/>
      <c r="G41" s="258"/>
      <c r="H41" s="258"/>
      <c r="I41" s="258"/>
      <c r="J41" s="258"/>
      <c r="K41" s="258"/>
      <c r="L41" s="258"/>
      <c r="M41" s="258"/>
      <c r="O41" s="716" t="s">
        <v>78</v>
      </c>
      <c r="P41" s="716"/>
      <c r="Q41" s="34"/>
      <c r="W41" s="131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5">
        <f t="shared" si="1"/>
        <v>8.1397533028604308E-4</v>
      </c>
    </row>
    <row r="42" spans="1:31" ht="21" thickTop="1" thickBot="1" x14ac:dyDescent="0.35">
      <c r="A42" s="258"/>
      <c r="B42" s="258"/>
      <c r="C42" s="258"/>
      <c r="D42" s="259"/>
      <c r="E42" s="259"/>
      <c r="F42" s="259"/>
      <c r="G42" s="258"/>
      <c r="H42" s="258"/>
      <c r="I42" s="258"/>
      <c r="J42" s="258"/>
      <c r="K42" s="258"/>
      <c r="L42" s="258"/>
      <c r="M42" s="258"/>
      <c r="O42" s="82">
        <v>1.1000000000000001</v>
      </c>
      <c r="P42" s="82">
        <f>O42*$Q$4</f>
        <v>213.95000000000002</v>
      </c>
      <c r="Q42" s="34"/>
      <c r="T42" s="90" t="s">
        <v>112</v>
      </c>
      <c r="W42" s="131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5">
        <f t="shared" si="1"/>
        <v>-1.3756018257987668E-3</v>
      </c>
    </row>
    <row r="43" spans="1:31" ht="15.75" thickTop="1" x14ac:dyDescent="0.25">
      <c r="A43" s="258"/>
      <c r="B43" s="258"/>
      <c r="C43" s="258"/>
      <c r="D43" s="259"/>
      <c r="E43" s="259"/>
      <c r="F43" s="259"/>
      <c r="G43" s="258"/>
      <c r="H43" s="258"/>
      <c r="I43" s="258"/>
      <c r="J43" s="258"/>
      <c r="K43" s="258"/>
      <c r="L43" s="258"/>
      <c r="M43" s="258"/>
      <c r="O43" s="82">
        <v>1.0900000000000001</v>
      </c>
      <c r="P43" s="82">
        <f t="shared" ref="P43:P62" si="5">O43*$Q$4</f>
        <v>212.00500000000002</v>
      </c>
      <c r="Q43" s="34"/>
      <c r="T43" s="126" t="s">
        <v>97</v>
      </c>
      <c r="U43" s="97">
        <v>164.97</v>
      </c>
      <c r="W43" s="131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5">
        <f t="shared" si="1"/>
        <v>1.2507035207320882E-4</v>
      </c>
    </row>
    <row r="44" spans="1:31" x14ac:dyDescent="0.25">
      <c r="A44" s="414" t="s">
        <v>81</v>
      </c>
      <c r="B44" s="415"/>
      <c r="C44" s="415">
        <f>SUM(C35:C40)</f>
        <v>70</v>
      </c>
      <c r="D44" s="416"/>
      <c r="E44" s="416"/>
      <c r="F44" s="416">
        <f>SUM(F35:F40)</f>
        <v>8027.9</v>
      </c>
      <c r="G44" s="416"/>
      <c r="H44" s="417">
        <f>SUM(H35:H39)</f>
        <v>70</v>
      </c>
      <c r="I44" s="416"/>
      <c r="J44" s="416"/>
      <c r="K44" s="416">
        <f>SUM(K35:K39)</f>
        <v>8192.1</v>
      </c>
      <c r="L44" s="416"/>
      <c r="M44" s="416">
        <f>SUM(M35:M38)</f>
        <v>12.5</v>
      </c>
      <c r="O44" s="82">
        <v>1.08</v>
      </c>
      <c r="P44" s="82">
        <f t="shared" si="5"/>
        <v>210.06</v>
      </c>
      <c r="Q44" s="34"/>
      <c r="T44" s="92" t="s">
        <v>98</v>
      </c>
      <c r="U44" s="87">
        <v>165.76</v>
      </c>
      <c r="W44" s="131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5">
        <f t="shared" si="1"/>
        <v>-8.4330625658833869E-3</v>
      </c>
    </row>
    <row r="45" spans="1:31" x14ac:dyDescent="0.25">
      <c r="A45" s="258"/>
      <c r="B45" s="258"/>
      <c r="C45" s="258"/>
      <c r="D45" s="259"/>
      <c r="E45" s="259"/>
      <c r="F45" s="259"/>
      <c r="G45" s="258"/>
      <c r="H45" s="258"/>
      <c r="I45" s="258"/>
      <c r="J45" s="258"/>
      <c r="K45" s="258"/>
      <c r="L45" s="258"/>
      <c r="M45" s="258"/>
      <c r="O45" s="82">
        <v>1.07</v>
      </c>
      <c r="P45" s="82">
        <f t="shared" si="5"/>
        <v>208.11500000000001</v>
      </c>
      <c r="Q45" s="82"/>
      <c r="T45" s="92" t="s">
        <v>99</v>
      </c>
      <c r="U45" s="87" t="s">
        <v>128</v>
      </c>
      <c r="W45" s="131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5">
        <f t="shared" si="1"/>
        <v>6.9305694305694665E-3</v>
      </c>
    </row>
    <row r="46" spans="1:31" x14ac:dyDescent="0.25">
      <c r="O46" s="82">
        <v>1.06</v>
      </c>
      <c r="P46" s="82">
        <f t="shared" si="5"/>
        <v>206.17000000000002</v>
      </c>
      <c r="Q46" s="82"/>
      <c r="T46" s="92" t="s">
        <v>100</v>
      </c>
      <c r="U46" s="87" t="s">
        <v>128</v>
      </c>
      <c r="W46" s="131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5">
        <f t="shared" si="1"/>
        <v>-1.2028869286287214E-2</v>
      </c>
    </row>
    <row r="47" spans="1:31" x14ac:dyDescent="0.25">
      <c r="O47" s="82">
        <v>1.05</v>
      </c>
      <c r="P47" s="82">
        <f t="shared" si="5"/>
        <v>204.22500000000002</v>
      </c>
      <c r="Q47" s="82"/>
      <c r="T47" s="92" t="s">
        <v>101</v>
      </c>
      <c r="U47" s="87">
        <v>185.05</v>
      </c>
      <c r="W47" s="131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5">
        <f t="shared" si="1"/>
        <v>3.7770897832818395E-3</v>
      </c>
    </row>
    <row r="48" spans="1:31" x14ac:dyDescent="0.25">
      <c r="O48" s="82">
        <v>1.04</v>
      </c>
      <c r="P48" s="82">
        <f t="shared" si="5"/>
        <v>202.28</v>
      </c>
      <c r="Q48" s="82"/>
      <c r="T48" s="92" t="s">
        <v>102</v>
      </c>
      <c r="U48" s="87">
        <v>0.60878900000000002</v>
      </c>
      <c r="W48" s="131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5">
        <f t="shared" si="1"/>
        <v>6.1923338906311187E-5</v>
      </c>
    </row>
    <row r="49" spans="15:31" x14ac:dyDescent="0.25">
      <c r="O49" s="82">
        <v>1.03</v>
      </c>
      <c r="P49" s="82">
        <f t="shared" si="5"/>
        <v>200.33500000000001</v>
      </c>
      <c r="Q49" s="82"/>
      <c r="T49" s="92" t="s">
        <v>103</v>
      </c>
      <c r="U49" s="87" t="s">
        <v>552</v>
      </c>
      <c r="W49" s="131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5">
        <f t="shared" si="1"/>
        <v>-5.4809705628771077E-3</v>
      </c>
    </row>
    <row r="50" spans="15:31" x14ac:dyDescent="0.25">
      <c r="O50" s="82">
        <v>1.02</v>
      </c>
      <c r="P50" s="82">
        <f t="shared" si="5"/>
        <v>198.39000000000001</v>
      </c>
      <c r="Q50" s="82"/>
      <c r="T50" s="92"/>
      <c r="U50" s="87"/>
      <c r="W50" s="131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5">
        <f t="shared" si="1"/>
        <v>1.4184397163119478E-3</v>
      </c>
    </row>
    <row r="51" spans="15:31" x14ac:dyDescent="0.25">
      <c r="O51" s="82">
        <v>1.01</v>
      </c>
      <c r="P51" s="82">
        <f t="shared" si="5"/>
        <v>196.44499999999999</v>
      </c>
      <c r="Q51" s="82"/>
      <c r="T51" s="92" t="s">
        <v>104</v>
      </c>
      <c r="U51" s="87" t="s">
        <v>736</v>
      </c>
      <c r="W51" s="131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5">
        <f t="shared" si="1"/>
        <v>9.3999003984064355E-3</v>
      </c>
    </row>
    <row r="52" spans="15:31" x14ac:dyDescent="0.25">
      <c r="O52" s="82">
        <v>1</v>
      </c>
      <c r="P52" s="82">
        <f t="shared" si="5"/>
        <v>194.5</v>
      </c>
      <c r="Q52" s="82"/>
      <c r="T52" s="92" t="s">
        <v>105</v>
      </c>
      <c r="U52" s="87" t="s">
        <v>547</v>
      </c>
      <c r="W52" s="131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5">
        <f t="shared" si="1"/>
        <v>5.0678846274163636E-3</v>
      </c>
    </row>
    <row r="53" spans="15:31" x14ac:dyDescent="0.25">
      <c r="O53" s="82">
        <v>0.99</v>
      </c>
      <c r="P53" s="82">
        <f t="shared" si="5"/>
        <v>192.55500000000001</v>
      </c>
      <c r="Q53" s="82"/>
      <c r="T53" s="92" t="s">
        <v>106</v>
      </c>
      <c r="U53" s="89">
        <v>3541623</v>
      </c>
      <c r="W53" s="131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5">
        <f t="shared" si="1"/>
        <v>8.5184250378598225E-3</v>
      </c>
    </row>
    <row r="54" spans="15:31" x14ac:dyDescent="0.25">
      <c r="O54" s="82">
        <v>0.98</v>
      </c>
      <c r="P54" s="82">
        <f t="shared" si="5"/>
        <v>190.60999999999999</v>
      </c>
      <c r="Q54" s="82"/>
      <c r="T54" s="92" t="s">
        <v>109</v>
      </c>
      <c r="U54" s="89">
        <v>3724090</v>
      </c>
      <c r="W54" s="131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5">
        <f t="shared" si="1"/>
        <v>2.593787562472194E-3</v>
      </c>
    </row>
    <row r="55" spans="15:31" x14ac:dyDescent="0.25">
      <c r="O55" s="82">
        <v>0.97</v>
      </c>
      <c r="P55" s="82">
        <f t="shared" si="5"/>
        <v>188.66499999999999</v>
      </c>
      <c r="Q55" s="82"/>
      <c r="T55" s="92" t="s">
        <v>107</v>
      </c>
      <c r="U55" s="87" t="s">
        <v>737</v>
      </c>
      <c r="W55" s="131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5">
        <f t="shared" si="1"/>
        <v>-2.5298842577969882E-4</v>
      </c>
    </row>
    <row r="56" spans="15:31" x14ac:dyDescent="0.25">
      <c r="O56" s="82">
        <v>0.96</v>
      </c>
      <c r="P56" s="82">
        <f t="shared" si="5"/>
        <v>186.72</v>
      </c>
      <c r="Q56" s="82"/>
      <c r="T56" s="92" t="s">
        <v>110</v>
      </c>
      <c r="U56" s="87">
        <v>22.81</v>
      </c>
      <c r="W56" s="131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5">
        <f t="shared" si="1"/>
        <v>6.1088132357620673E-3</v>
      </c>
    </row>
    <row r="57" spans="15:31" x14ac:dyDescent="0.25">
      <c r="O57" s="82">
        <v>0.95</v>
      </c>
      <c r="P57" s="82">
        <f t="shared" si="5"/>
        <v>184.77499999999998</v>
      </c>
      <c r="Q57" s="82"/>
      <c r="T57" s="92" t="s">
        <v>111</v>
      </c>
      <c r="U57" s="87">
        <v>7.25</v>
      </c>
      <c r="W57" s="131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5">
        <f t="shared" si="1"/>
        <v>-1.8180682244158364E-2</v>
      </c>
    </row>
    <row r="58" spans="15:31" x14ac:dyDescent="0.25">
      <c r="O58" s="82">
        <v>0.94</v>
      </c>
      <c r="P58" s="82">
        <f t="shared" si="5"/>
        <v>182.82999999999998</v>
      </c>
      <c r="Q58" s="82"/>
      <c r="T58" s="92" t="s">
        <v>108</v>
      </c>
      <c r="U58" s="87" t="s">
        <v>606</v>
      </c>
      <c r="W58" s="131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5">
        <f t="shared" si="1"/>
        <v>-7.0719602977666884E-3</v>
      </c>
    </row>
    <row r="59" spans="15:31" x14ac:dyDescent="0.25">
      <c r="O59" s="82">
        <v>0.93</v>
      </c>
      <c r="P59" s="82">
        <f t="shared" si="5"/>
        <v>180.88500000000002</v>
      </c>
      <c r="Q59" s="82"/>
      <c r="W59" s="131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5">
        <f t="shared" si="1"/>
        <v>-3.4619188921859445E-3</v>
      </c>
    </row>
    <row r="60" spans="15:31" x14ac:dyDescent="0.25">
      <c r="O60" s="82">
        <v>0.92</v>
      </c>
      <c r="P60" s="82">
        <f t="shared" si="5"/>
        <v>178.94</v>
      </c>
      <c r="Q60" s="82"/>
      <c r="W60" s="131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5">
        <f t="shared" si="1"/>
        <v>2.914005828011712E-3</v>
      </c>
    </row>
    <row r="61" spans="15:31" x14ac:dyDescent="0.25">
      <c r="O61" s="82">
        <v>0.91</v>
      </c>
      <c r="P61" s="82">
        <f t="shared" si="5"/>
        <v>176.995</v>
      </c>
      <c r="Q61" s="82"/>
      <c r="W61" s="131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5">
        <f t="shared" si="1"/>
        <v>1.9257050565286704E-3</v>
      </c>
    </row>
    <row r="62" spans="15:31" x14ac:dyDescent="0.25">
      <c r="O62" s="82">
        <v>0.9</v>
      </c>
      <c r="P62" s="82">
        <f t="shared" si="5"/>
        <v>175.05</v>
      </c>
      <c r="Q62" s="82"/>
      <c r="W62" s="131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5">
        <f t="shared" si="1"/>
        <v>-2.2931515339325026E-3</v>
      </c>
    </row>
    <row r="63" spans="15:31" x14ac:dyDescent="0.25">
      <c r="O63" s="34"/>
      <c r="W63" s="131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5">
        <f t="shared" si="1"/>
        <v>-2.8428403683332659E-3</v>
      </c>
    </row>
    <row r="64" spans="15:31" x14ac:dyDescent="0.25">
      <c r="O64" s="34"/>
      <c r="W64" s="131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5">
        <f t="shared" si="1"/>
        <v>1.4234434954820685E-3</v>
      </c>
    </row>
    <row r="65" spans="23:31" x14ac:dyDescent="0.25">
      <c r="W65" s="131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5">
        <f t="shared" si="1"/>
        <v>1.673795796912847E-3</v>
      </c>
    </row>
    <row r="66" spans="23:31" x14ac:dyDescent="0.25">
      <c r="W66" s="131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5">
        <f t="shared" si="1"/>
        <v>2.8598072738577063E-3</v>
      </c>
    </row>
    <row r="67" spans="23:31" x14ac:dyDescent="0.25">
      <c r="W67" s="131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5" t="e">
        <f>AC67/#REF!-1</f>
        <v>#REF!</v>
      </c>
    </row>
    <row r="68" spans="23:31" x14ac:dyDescent="0.25">
      <c r="W68" s="131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5" t="e">
        <f>#REF!/AC69-1</f>
        <v>#REF!</v>
      </c>
    </row>
    <row r="69" spans="23:31" x14ac:dyDescent="0.25">
      <c r="W69" s="131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5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102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2017-08-15T23:16:25Z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